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ARQUIVO-HC\EXCEL\IMPORT\PROJETO\FREEWARE\"/>
    </mc:Choice>
  </mc:AlternateContent>
  <bookViews>
    <workbookView xWindow="-15" yWindow="-15" windowWidth="9630" windowHeight="5175"/>
  </bookViews>
  <sheets>
    <sheet name="IMPULSE ®" sheetId="1" r:id="rId1"/>
  </sheets>
  <definedNames>
    <definedName name="_8428.39.99.00">'IMPULSE ®'!$N$6</definedName>
    <definedName name="_Regression_Int" localSheetId="0" hidden="1">1</definedName>
  </definedNames>
  <calcPr calcId="152511" iterate="1"/>
</workbook>
</file>

<file path=xl/calcChain.xml><?xml version="1.0" encoding="utf-8"?>
<calcChain xmlns="http://schemas.openxmlformats.org/spreadsheetml/2006/main">
  <c r="S2" i="1" l="1"/>
  <c r="BD2" i="1"/>
  <c r="BG2" i="1"/>
  <c r="BJ2" i="1"/>
  <c r="W12" i="1" s="1"/>
  <c r="K3" i="1"/>
  <c r="N3" i="1"/>
  <c r="R3" i="1" s="1"/>
  <c r="AI3" i="1"/>
  <c r="AX3" i="1"/>
  <c r="BD3" i="1"/>
  <c r="BG3" i="1"/>
  <c r="BJ3" i="1"/>
  <c r="N4" i="1"/>
  <c r="O4" i="1"/>
  <c r="AB4" i="1"/>
  <c r="AM4" i="1"/>
  <c r="AQ4" i="1"/>
  <c r="BD4" i="1"/>
  <c r="BG4" i="1"/>
  <c r="BJ4" i="1"/>
  <c r="BL4" i="1"/>
  <c r="BQ21" i="1" s="1"/>
  <c r="L5" i="1"/>
  <c r="N5" i="1"/>
  <c r="P5" i="1"/>
  <c r="U5" i="1"/>
  <c r="AG5" i="1"/>
  <c r="AL5" i="1"/>
  <c r="BD5" i="1"/>
  <c r="BH2" i="1" s="1"/>
  <c r="BG5" i="1"/>
  <c r="BG15" i="1" s="1"/>
  <c r="BJ5" i="1"/>
  <c r="N6" i="1"/>
  <c r="R4" i="1" s="1"/>
  <c r="O6" i="1"/>
  <c r="AL6" i="1"/>
  <c r="AW6" i="1"/>
  <c r="AY6" i="1"/>
  <c r="BE6" i="1"/>
  <c r="BE2" i="1" s="1"/>
  <c r="BG6" i="1"/>
  <c r="BG16" i="1" s="1"/>
  <c r="BJ6" i="1"/>
  <c r="L7" i="1"/>
  <c r="N7" i="1"/>
  <c r="V4" i="1" s="1"/>
  <c r="R7" i="1"/>
  <c r="AL7" i="1"/>
  <c r="BD7" i="1"/>
  <c r="BE7" i="1"/>
  <c r="BE4" i="1" s="1"/>
  <c r="BG7" i="1"/>
  <c r="BG21" i="1" s="1"/>
  <c r="BJ7" i="1"/>
  <c r="BK7" i="1"/>
  <c r="L8" i="1"/>
  <c r="M8" i="1"/>
  <c r="O8" i="1"/>
  <c r="R8" i="1"/>
  <c r="AL8" i="1"/>
  <c r="BD8" i="1"/>
  <c r="AC5" i="1" s="1"/>
  <c r="BE8" i="1"/>
  <c r="BJ8" i="1"/>
  <c r="BL8" i="1"/>
  <c r="BM8" i="1"/>
  <c r="BO8" i="1"/>
  <c r="BP8" i="1"/>
  <c r="N9" i="1"/>
  <c r="AL9" i="1"/>
  <c r="BE9" i="1"/>
  <c r="BG9" i="1"/>
  <c r="BJ9" i="1"/>
  <c r="BM9" i="1"/>
  <c r="BO9" i="1"/>
  <c r="BP9" i="1"/>
  <c r="R10" i="1"/>
  <c r="S10" i="1"/>
  <c r="BE10" i="1"/>
  <c r="BJ10" i="1"/>
  <c r="BM10" i="1"/>
  <c r="BO10" i="1"/>
  <c r="BP10" i="1"/>
  <c r="B11" i="1"/>
  <c r="BJ20" i="1" s="1"/>
  <c r="C11" i="1"/>
  <c r="BJ21" i="1" s="1"/>
  <c r="D11" i="1"/>
  <c r="BJ22" i="1" s="1"/>
  <c r="E11" i="1"/>
  <c r="BJ23" i="1" s="1"/>
  <c r="F11" i="1"/>
  <c r="BJ24" i="1" s="1"/>
  <c r="M11" i="1"/>
  <c r="BE11" i="1"/>
  <c r="BH11" i="1"/>
  <c r="P25" i="1" s="1"/>
  <c r="BJ11" i="1"/>
  <c r="BM11" i="1"/>
  <c r="BO11" i="1"/>
  <c r="BP11" i="1"/>
  <c r="AQ12" i="1"/>
  <c r="BD12" i="1"/>
  <c r="BE12" i="1"/>
  <c r="BG12" i="1"/>
  <c r="BJ12" i="1"/>
  <c r="BE13" i="1"/>
  <c r="BF13" i="1"/>
  <c r="BG13" i="1"/>
  <c r="BJ13" i="1"/>
  <c r="BL13" i="1"/>
  <c r="BP13" i="1"/>
  <c r="I14" i="1"/>
  <c r="BE14" i="1"/>
  <c r="BF14" i="1"/>
  <c r="BH13" i="1" s="1"/>
  <c r="BG14" i="1"/>
  <c r="BJ14" i="1"/>
  <c r="R15" i="1"/>
  <c r="AA15" i="1"/>
  <c r="AK15" i="1"/>
  <c r="AM15" i="1" s="1"/>
  <c r="BD15" i="1"/>
  <c r="BE15" i="1"/>
  <c r="BF15" i="1"/>
  <c r="BJ15" i="1"/>
  <c r="BK15" i="1"/>
  <c r="BL15" i="1"/>
  <c r="BL20" i="1" s="1"/>
  <c r="P16" i="1"/>
  <c r="T16" i="1" s="1"/>
  <c r="BE16" i="1"/>
  <c r="BJ16" i="1"/>
  <c r="M17" i="1"/>
  <c r="BE17" i="1"/>
  <c r="BG17" i="1"/>
  <c r="BJ17" i="1"/>
  <c r="M18" i="1"/>
  <c r="Q18" i="1"/>
  <c r="U18" i="1"/>
  <c r="BF18" i="1"/>
  <c r="BJ18" i="1"/>
  <c r="BK18" i="1"/>
  <c r="Q19" i="1"/>
  <c r="U19" i="1"/>
  <c r="AT19" i="1"/>
  <c r="AW19" i="1"/>
  <c r="AX19" i="1" s="1"/>
  <c r="BE19" i="1"/>
  <c r="BF19" i="1"/>
  <c r="BG19" i="1"/>
  <c r="BJ19" i="1"/>
  <c r="A20" i="1"/>
  <c r="C20" i="1"/>
  <c r="E20" i="1"/>
  <c r="AT20" i="1"/>
  <c r="AW20" i="1"/>
  <c r="AX20" i="1" s="1"/>
  <c r="AT21" i="1"/>
  <c r="AW21" i="1"/>
  <c r="AX21" i="1" s="1"/>
  <c r="BF21" i="1"/>
  <c r="AG22" i="1"/>
  <c r="AT22" i="1"/>
  <c r="AW22" i="1"/>
  <c r="AX22" i="1" s="1"/>
  <c r="BD22" i="1"/>
  <c r="BF22" i="1"/>
  <c r="BN22" i="1"/>
  <c r="A23" i="1"/>
  <c r="E23" i="1"/>
  <c r="N23" i="1"/>
  <c r="N24" i="1" s="1"/>
  <c r="AH23" i="1"/>
  <c r="AG23" i="1" s="1"/>
  <c r="AI23" i="1" s="1"/>
  <c r="AT23" i="1"/>
  <c r="AW23" i="1"/>
  <c r="AX23" i="1" s="1"/>
  <c r="BE23" i="1"/>
  <c r="BF23" i="1"/>
  <c r="BK23" i="1"/>
  <c r="BL23" i="1"/>
  <c r="M24" i="1"/>
  <c r="Y24" i="1"/>
  <c r="W24" i="1" s="1"/>
  <c r="X24" i="1" s="1"/>
  <c r="BC24" i="1"/>
  <c r="BD24" i="1"/>
  <c r="BE24" i="1"/>
  <c r="BL22" i="1" s="1"/>
  <c r="BF24" i="1"/>
  <c r="N25" i="1"/>
  <c r="Y25" i="1"/>
  <c r="BC25" i="1"/>
  <c r="BF25" i="1"/>
  <c r="BL25" i="1"/>
  <c r="BN25" i="1"/>
  <c r="C26" i="1"/>
  <c r="R13" i="1" s="1"/>
  <c r="F26" i="1"/>
  <c r="R14" i="1" s="1"/>
  <c r="P26" i="1"/>
  <c r="I28" i="1"/>
  <c r="P28" i="1"/>
  <c r="W28" i="1"/>
  <c r="AE28" i="1"/>
  <c r="AK28" i="1"/>
  <c r="AS28" i="1"/>
  <c r="P131" i="1"/>
  <c r="P9" i="1"/>
  <c r="AA4" i="1"/>
  <c r="BD6" i="1"/>
  <c r="BN17" i="1"/>
  <c r="AB5" i="1"/>
  <c r="W4" i="1"/>
  <c r="Y5" i="1"/>
  <c r="BN18" i="1"/>
  <c r="BH9" i="1"/>
  <c r="BN20" i="1"/>
  <c r="AD11" i="1"/>
  <c r="BD10" i="1"/>
  <c r="AL16" i="1"/>
  <c r="O23" i="1"/>
  <c r="AM16" i="1"/>
  <c r="AP16" i="1"/>
  <c r="AQ16" i="1"/>
  <c r="AO16" i="1"/>
  <c r="AN15" i="1"/>
  <c r="AN16" i="1"/>
  <c r="AD4" i="1"/>
  <c r="BC23" i="1"/>
  <c r="AU22" i="1"/>
  <c r="AU23" i="1"/>
  <c r="AY23" i="1"/>
  <c r="AZ23" i="1"/>
  <c r="AU21" i="1"/>
  <c r="AZ21" i="1"/>
  <c r="AZ22" i="1"/>
  <c r="AU20" i="1"/>
  <c r="AY20" i="1"/>
  <c r="AZ20" i="1"/>
  <c r="BL16" i="1"/>
  <c r="BL21" i="1" s="1"/>
  <c r="AU19" i="1"/>
  <c r="AY19" i="1"/>
  <c r="AZ19" i="1"/>
  <c r="AJ23" i="1" l="1"/>
  <c r="AI22" i="1"/>
  <c r="AD6" i="1"/>
  <c r="AY7" i="1"/>
  <c r="BA20" i="1"/>
  <c r="BG18" i="1"/>
  <c r="BF16" i="1"/>
  <c r="AP7" i="1"/>
  <c r="AP9" i="1"/>
  <c r="AP5" i="1"/>
  <c r="AP6" i="1"/>
  <c r="AM6" i="1"/>
  <c r="AV19" i="1"/>
  <c r="BI23" i="1" s="1"/>
  <c r="BL18" i="1"/>
  <c r="AV20" i="1"/>
  <c r="BI21" i="1" s="1"/>
  <c r="AY21" i="1"/>
  <c r="AD15" i="1"/>
  <c r="AD17" i="1"/>
  <c r="V3" i="1"/>
  <c r="T6" i="1"/>
  <c r="AD13" i="1"/>
  <c r="BL19" i="1"/>
  <c r="AV21" i="1"/>
  <c r="BI22" i="1" s="1"/>
  <c r="AV22" i="1"/>
  <c r="BH21" i="1" s="1"/>
  <c r="BN19" i="1"/>
  <c r="AD19" i="1"/>
  <c r="BI13" i="1"/>
  <c r="W14" i="1"/>
  <c r="AD5" i="1"/>
  <c r="C22" i="1"/>
  <c r="BA21" i="1"/>
  <c r="BA19" i="1"/>
  <c r="BL17" i="1"/>
  <c r="AY22" i="1"/>
  <c r="AD9" i="1"/>
  <c r="AD20" i="1"/>
  <c r="BH19" i="1"/>
  <c r="BJ25" i="1"/>
  <c r="BK6" i="1" s="1"/>
  <c r="C19" i="1"/>
  <c r="BA22" i="1"/>
  <c r="BE3" i="1"/>
  <c r="E19" i="1"/>
  <c r="AN17" i="1"/>
  <c r="AP15" i="1"/>
  <c r="AL15" i="1"/>
  <c r="P20" i="1"/>
  <c r="T23" i="1"/>
  <c r="BD21" i="1"/>
  <c r="W21" i="1"/>
  <c r="T20" i="1"/>
  <c r="BE5" i="1"/>
  <c r="BD25" i="1"/>
  <c r="AC22" i="1"/>
  <c r="AO15" i="1"/>
  <c r="O7" i="1"/>
  <c r="BI6" i="1"/>
  <c r="BH20" i="1" s="1"/>
  <c r="BH12" i="1"/>
  <c r="BI14" i="1" s="1"/>
  <c r="AB3" i="1"/>
  <c r="AI5" i="1"/>
  <c r="AJ5" i="1" s="1"/>
  <c r="T25" i="1"/>
  <c r="P23" i="1"/>
  <c r="Q20" i="1"/>
  <c r="P19" i="1"/>
  <c r="AO3" i="1"/>
  <c r="U20" i="1"/>
  <c r="Q26" i="1"/>
  <c r="G13" i="1"/>
  <c r="AQ18" i="1"/>
  <c r="BK3" i="1"/>
  <c r="BK4" i="1"/>
  <c r="AV23" i="1"/>
  <c r="BH22" i="1" s="1"/>
  <c r="BA23" i="1"/>
  <c r="BI15" i="1"/>
  <c r="T4" i="1"/>
  <c r="AY10" i="1"/>
  <c r="BH8" i="1"/>
  <c r="BH6" i="1" s="1"/>
  <c r="BH7" i="1" s="1"/>
  <c r="BE18" i="1"/>
  <c r="BF17" i="1"/>
  <c r="V6" i="1" s="1"/>
  <c r="T19" i="1"/>
  <c r="P22" i="1"/>
  <c r="U23" i="1"/>
  <c r="A25" i="1"/>
  <c r="T26" i="1"/>
  <c r="T14" i="1"/>
  <c r="BK5" i="1"/>
  <c r="AM9" i="1"/>
  <c r="AQ9" i="1" s="1"/>
  <c r="T15" i="1"/>
  <c r="AM7" i="1"/>
  <c r="AM5" i="1"/>
  <c r="AQ5" i="1" s="1"/>
  <c r="W20" i="1"/>
  <c r="T5" i="1"/>
  <c r="U26" i="1"/>
  <c r="A24" i="1"/>
  <c r="Q23" i="1"/>
  <c r="T22" i="1"/>
  <c r="BD16" i="1"/>
  <c r="BG8" i="1"/>
  <c r="BG11" i="1" s="1"/>
  <c r="BG24" i="1"/>
  <c r="AP8" i="1"/>
  <c r="BG20" i="1"/>
  <c r="AY8" i="1" s="1"/>
  <c r="BN21" i="1"/>
  <c r="V17" i="1" s="1"/>
  <c r="AY11" i="1"/>
  <c r="AD8" i="1"/>
  <c r="AD16" i="1"/>
  <c r="AD18" i="1"/>
  <c r="AM8" i="1"/>
  <c r="AY9" i="1"/>
  <c r="BK2" i="1" l="1"/>
  <c r="AQ6" i="1"/>
  <c r="AQ7" i="1"/>
  <c r="AQ8" i="1"/>
  <c r="BI17" i="1"/>
  <c r="BI20" i="1"/>
  <c r="BI19" i="1"/>
  <c r="BI11" i="1"/>
  <c r="BH24" i="1" s="1"/>
  <c r="BH18" i="1" s="1"/>
  <c r="BI8" i="1" s="1"/>
  <c r="T3" i="1"/>
  <c r="BH25" i="1"/>
  <c r="BI12" i="1" s="1"/>
  <c r="BI9" i="1" s="1"/>
  <c r="BH17" i="1"/>
  <c r="BI3" i="1" s="1"/>
  <c r="BH15" i="1" s="1"/>
  <c r="AQ10" i="1"/>
  <c r="I11" i="1"/>
  <c r="I12" i="1"/>
  <c r="I10" i="1"/>
  <c r="I13" i="1"/>
  <c r="BH23" i="1"/>
  <c r="BI18" i="1"/>
  <c r="I9" i="1"/>
  <c r="BI2" i="1"/>
  <c r="BI16" i="1" s="1"/>
  <c r="BI10" i="1" s="1"/>
  <c r="O9" i="1"/>
  <c r="O21" i="1"/>
  <c r="N21" i="1" s="1"/>
  <c r="BI5" i="1"/>
  <c r="BH16" i="1" s="1"/>
  <c r="AD21" i="1"/>
  <c r="BI4" i="1" l="1"/>
  <c r="BH14" i="1"/>
  <c r="BI7" i="1" s="1"/>
  <c r="H24" i="1" s="1"/>
  <c r="G24" i="1" s="1"/>
  <c r="BD9" i="1" s="1"/>
  <c r="K18" i="1" l="1"/>
  <c r="AH21" i="1" s="1"/>
  <c r="AG21" i="1" s="1"/>
  <c r="AI21" i="1" s="1"/>
  <c r="AJ21" i="1" s="1"/>
  <c r="K6" i="1"/>
  <c r="K8" i="1"/>
  <c r="K15" i="1"/>
  <c r="R6" i="1" s="1"/>
  <c r="K20" i="1"/>
  <c r="AH17" i="1" s="1"/>
  <c r="AG17" i="1" s="1"/>
  <c r="AI17" i="1" s="1"/>
  <c r="AJ17" i="1" s="1"/>
  <c r="K14" i="1"/>
  <c r="R5" i="1" s="1"/>
  <c r="K17" i="1"/>
  <c r="AH18" i="1" s="1"/>
  <c r="AG18" i="1" s="1"/>
  <c r="AI18" i="1" s="1"/>
  <c r="AJ18" i="1" s="1"/>
  <c r="K4" i="1"/>
  <c r="K16" i="1"/>
  <c r="K7" i="1"/>
  <c r="BL3" i="1"/>
  <c r="BL2" i="1" s="1"/>
  <c r="AM3" i="1" s="1"/>
  <c r="AU25" i="1" l="1"/>
  <c r="AK10" i="1"/>
  <c r="AN3" i="1"/>
  <c r="BL11" i="1"/>
  <c r="K23" i="1"/>
  <c r="AH19" i="1" s="1"/>
  <c r="AG19" i="1" s="1"/>
  <c r="AI19" i="1" s="1"/>
  <c r="AJ19" i="1" s="1"/>
  <c r="AH14" i="1"/>
  <c r="AG14" i="1" s="1"/>
  <c r="AI14" i="1" s="1"/>
  <c r="AJ14" i="1" s="1"/>
  <c r="K5" i="1"/>
  <c r="AH7" i="1"/>
  <c r="AH16" i="1"/>
  <c r="AG16" i="1" s="1"/>
  <c r="AI16" i="1" s="1"/>
  <c r="AJ16" i="1" s="1"/>
  <c r="AV25" i="1" l="1"/>
  <c r="AU18" i="1"/>
  <c r="AH6" i="1"/>
  <c r="N10" i="1"/>
  <c r="AG7" i="1"/>
  <c r="K24" i="1" l="1"/>
  <c r="N11" i="1"/>
  <c r="O10" i="1"/>
  <c r="AH25" i="1"/>
  <c r="AG6" i="1"/>
  <c r="V8" i="1" s="1"/>
  <c r="AI7" i="1"/>
  <c r="AJ7" i="1" s="1"/>
  <c r="BE20" i="1" l="1"/>
  <c r="BE22" i="1"/>
  <c r="BE21" i="1"/>
  <c r="AG25" i="1"/>
  <c r="AI6" i="1"/>
  <c r="AJ6" i="1" s="1"/>
  <c r="V7" i="1"/>
  <c r="BC2" i="1"/>
  <c r="BC5" i="1" s="1"/>
  <c r="BC7" i="1"/>
  <c r="BC4" i="1"/>
  <c r="BD23" i="1"/>
  <c r="BC6" i="1"/>
  <c r="BC3" i="1"/>
  <c r="BC8" i="1" s="1"/>
  <c r="AH15" i="1"/>
  <c r="AG15" i="1" s="1"/>
  <c r="AI15" i="1" s="1"/>
  <c r="AJ15" i="1" s="1"/>
  <c r="K22" i="1"/>
  <c r="K21" i="1"/>
  <c r="N12" i="1" l="1"/>
  <c r="AH20" i="1"/>
  <c r="AG20" i="1" s="1"/>
  <c r="AI20" i="1" s="1"/>
  <c r="AJ20" i="1" s="1"/>
  <c r="AH8" i="1" l="1"/>
  <c r="N13" i="1"/>
  <c r="AG8" i="1" l="1"/>
  <c r="AL14" i="1"/>
  <c r="AR14" i="1" s="1"/>
  <c r="AH26" i="1"/>
  <c r="AH24" i="1"/>
  <c r="AH9" i="1"/>
  <c r="N14" i="1"/>
  <c r="AH11" i="1" l="1"/>
  <c r="N15" i="1"/>
  <c r="AG9" i="1"/>
  <c r="AI8" i="1"/>
  <c r="AJ8" i="1" s="1"/>
  <c r="AG26" i="1"/>
  <c r="BG25" i="1"/>
  <c r="AG24" i="1"/>
  <c r="N16" i="1" l="1"/>
  <c r="AH12" i="1"/>
  <c r="AI9" i="1"/>
  <c r="AJ9" i="1" s="1"/>
  <c r="AI24" i="1"/>
  <c r="AJ24" i="1" s="1"/>
  <c r="AG11" i="1"/>
  <c r="AI11" i="1" l="1"/>
  <c r="AJ11" i="1" s="1"/>
  <c r="AG12" i="1"/>
  <c r="AI12" i="1" s="1"/>
  <c r="AJ12" i="1" s="1"/>
  <c r="AH10" i="1"/>
  <c r="N17" i="1"/>
  <c r="N18" i="1" l="1"/>
  <c r="K19" i="1"/>
  <c r="AH13" i="1" s="1"/>
  <c r="AG13" i="1" s="1"/>
  <c r="V12" i="1" s="1"/>
  <c r="AG10" i="1"/>
  <c r="V11" i="1" l="1"/>
  <c r="AI10" i="1"/>
  <c r="AJ10" i="1" s="1"/>
  <c r="AI13" i="1"/>
  <c r="AJ13" i="1" s="1"/>
  <c r="O11" i="1"/>
  <c r="O13" i="1"/>
  <c r="V9" i="1"/>
  <c r="O12" i="1"/>
  <c r="V10" i="1"/>
  <c r="O15" i="1"/>
  <c r="O16" i="1"/>
  <c r="O14" i="1"/>
  <c r="K11" i="1" s="1"/>
  <c r="O17" i="1"/>
  <c r="N19" i="1"/>
  <c r="N22" i="1"/>
  <c r="N20" i="1"/>
  <c r="R19" i="1"/>
  <c r="K9" i="1" l="1"/>
  <c r="R25" i="1"/>
  <c r="R9" i="1"/>
  <c r="O20" i="1"/>
  <c r="V5" i="1"/>
  <c r="O24" i="1" s="1"/>
  <c r="BP12" i="1" s="1"/>
  <c r="R22" i="1"/>
  <c r="K12" i="1"/>
  <c r="K13" i="1"/>
  <c r="K10" i="1"/>
  <c r="V13" i="1" l="1"/>
  <c r="V14" i="1" s="1"/>
  <c r="O19" i="1"/>
  <c r="O22" i="1"/>
  <c r="F22" i="1" s="1"/>
  <c r="O18" i="1"/>
  <c r="C25" i="1"/>
  <c r="B25" i="1"/>
  <c r="D25" i="1"/>
  <c r="F25" i="1"/>
  <c r="E25" i="1"/>
  <c r="AD24" i="1"/>
  <c r="AV15" i="1"/>
  <c r="AJ25" i="1"/>
  <c r="AJ26" i="1"/>
  <c r="AR17" i="1"/>
  <c r="AN8" i="1" l="1"/>
  <c r="E24" i="1"/>
  <c r="AN9" i="1"/>
  <c r="F24" i="1"/>
  <c r="D24" i="1"/>
  <c r="AN7" i="1"/>
  <c r="AN5" i="1"/>
  <c r="BF20" i="1"/>
  <c r="BA12" i="1" s="1"/>
  <c r="B24" i="1"/>
  <c r="C24" i="1"/>
  <c r="AN6" i="1"/>
  <c r="AC24" i="1"/>
  <c r="V15" i="1"/>
  <c r="BC9" i="1" l="1"/>
  <c r="BC12" i="1" s="1"/>
  <c r="AO6" i="1"/>
  <c r="AR6" i="1"/>
  <c r="AZ12" i="1"/>
  <c r="BA14" i="1"/>
  <c r="AC16" i="1"/>
  <c r="AC17" i="1"/>
  <c r="Y16" i="1"/>
  <c r="Y17" i="1"/>
  <c r="Y7" i="1"/>
  <c r="Y12" i="1"/>
  <c r="Y14" i="1"/>
  <c r="AC19" i="1"/>
  <c r="Y10" i="1"/>
  <c r="Y19" i="1"/>
  <c r="Y20" i="1"/>
  <c r="Y18" i="1"/>
  <c r="AO9" i="1"/>
  <c r="AR9" i="1"/>
  <c r="BC13" i="1"/>
  <c r="BC10" i="1"/>
  <c r="BC15" i="1" s="1"/>
  <c r="R11" i="1" s="1"/>
  <c r="Y11" i="1" s="1"/>
  <c r="AR7" i="1"/>
  <c r="AO7" i="1"/>
  <c r="BC16" i="1"/>
  <c r="AO5" i="1"/>
  <c r="AR5" i="1"/>
  <c r="AR10" i="1" s="1"/>
  <c r="AR18" i="1" s="1"/>
  <c r="AR8" i="1"/>
  <c r="AO8" i="1"/>
  <c r="BC11" i="1" l="1"/>
  <c r="BC14" i="1"/>
  <c r="BC19" i="1"/>
  <c r="BC18" i="1"/>
  <c r="BC17" i="1"/>
  <c r="BC22" i="1" s="1"/>
  <c r="R12" i="1" s="1"/>
  <c r="Y9" i="1" s="1"/>
  <c r="BC21" i="1"/>
  <c r="Y6" i="1"/>
  <c r="AQ14" i="1"/>
  <c r="AA20" i="1"/>
  <c r="BK14" i="1"/>
  <c r="BK13" i="1" s="1"/>
  <c r="AA12" i="1" s="1"/>
  <c r="Y13" i="1"/>
  <c r="BF4" i="1"/>
  <c r="BF3" i="1" s="1"/>
  <c r="BL14" i="1"/>
  <c r="AD22" i="1"/>
  <c r="F23" i="1"/>
  <c r="BR7" i="1"/>
  <c r="AC18" i="1"/>
  <c r="BR5" i="1"/>
  <c r="AV14" i="1"/>
  <c r="BC20" i="1"/>
  <c r="BR2" i="1" l="1"/>
  <c r="BR10" i="1"/>
  <c r="BP21" i="1"/>
  <c r="BO2" i="1"/>
  <c r="BO4" i="1"/>
  <c r="BR14" i="1"/>
  <c r="BO3" i="1"/>
  <c r="AO14" i="1"/>
  <c r="BF10" i="1"/>
  <c r="BF9" i="1" s="1"/>
  <c r="BQ18" i="1" s="1"/>
  <c r="Y8" i="1"/>
  <c r="BQ5" i="1"/>
  <c r="BQ19" i="1"/>
  <c r="AZ14" i="1"/>
  <c r="AD23" i="1" s="1"/>
  <c r="B23" i="1"/>
  <c r="BK17" i="1"/>
  <c r="BQ2" i="1"/>
  <c r="AC26" i="1" s="1"/>
  <c r="BN4" i="1"/>
  <c r="AA7" i="1"/>
  <c r="BQ15" i="1"/>
  <c r="BP18" i="1"/>
  <c r="Y26" i="1" s="1"/>
  <c r="BQ16" i="1"/>
  <c r="AD26" i="1" s="1"/>
  <c r="BK16" i="1" l="1"/>
  <c r="AA14" i="1" s="1"/>
  <c r="BQ6" i="1"/>
  <c r="BR11" i="1"/>
  <c r="BQ20" i="1"/>
  <c r="BR6" i="1"/>
  <c r="BP19" i="1"/>
  <c r="BF7" i="1"/>
  <c r="AA11" i="1"/>
  <c r="BQ9" i="1"/>
  <c r="AC11" i="1" s="1"/>
  <c r="BR12" i="1"/>
  <c r="BM4" i="1"/>
  <c r="BM2" i="1"/>
  <c r="BM3" i="1"/>
  <c r="AM14" i="1"/>
  <c r="BQ4" i="1"/>
  <c r="BR9" i="1"/>
  <c r="BR4" i="1"/>
  <c r="BP20" i="1"/>
  <c r="AD25" i="1"/>
  <c r="AC20" i="1"/>
  <c r="AQ15" i="1" s="1"/>
  <c r="AR15" i="1" s="1"/>
  <c r="AR16" i="1" s="1"/>
  <c r="AC25" i="1"/>
  <c r="AC23" i="1"/>
  <c r="BP22" i="1"/>
  <c r="BQ13" i="1"/>
  <c r="BF6" i="1" l="1"/>
  <c r="AA10" i="1" s="1"/>
  <c r="BR8" i="1"/>
  <c r="BR3" i="1"/>
  <c r="BQ17" i="1"/>
  <c r="BQ3" i="1"/>
  <c r="BQ11" i="1"/>
  <c r="BQ7" i="1"/>
  <c r="AC6" i="1" s="1"/>
  <c r="AA6" i="1"/>
  <c r="BO5" i="1"/>
  <c r="BO7" i="1"/>
  <c r="BR15" i="1"/>
  <c r="BO6" i="1"/>
  <c r="AP14" i="1"/>
  <c r="AA13" i="1" l="1"/>
  <c r="BQ10" i="1"/>
  <c r="AC13" i="1" s="1"/>
  <c r="BP3" i="1"/>
  <c r="BO15" i="1"/>
  <c r="BO19" i="1"/>
  <c r="BO20" i="1"/>
  <c r="BO17" i="1"/>
  <c r="BO13" i="1"/>
  <c r="BO25" i="1"/>
  <c r="BO22" i="1"/>
  <c r="BO12" i="1"/>
  <c r="BP5" i="1"/>
  <c r="BO23" i="1"/>
  <c r="BP7" i="1"/>
  <c r="BO16" i="1"/>
  <c r="BO24" i="1"/>
  <c r="BP6" i="1"/>
  <c r="BP4" i="1"/>
  <c r="BQ14" i="1"/>
  <c r="BO21" i="1"/>
  <c r="BP2" i="1"/>
  <c r="BO14" i="1"/>
  <c r="BO18" i="1"/>
  <c r="BR13" i="1"/>
  <c r="BM5" i="1"/>
  <c r="BM6" i="1"/>
  <c r="BM7" i="1"/>
  <c r="AN14" i="1"/>
  <c r="AL18" i="1"/>
  <c r="AA21" i="1"/>
  <c r="BD19" i="1"/>
  <c r="Y15" i="1" s="1"/>
  <c r="Y21" i="1" s="1"/>
  <c r="R18" i="1" l="1"/>
  <c r="R21" i="1"/>
  <c r="R24" i="1"/>
  <c r="Y22" i="1"/>
  <c r="BQ12" i="1"/>
  <c r="BM14" i="1"/>
  <c r="BN2" i="1"/>
  <c r="BM18" i="1"/>
  <c r="BM21" i="1"/>
  <c r="BM23" i="1"/>
  <c r="BM25" i="1"/>
  <c r="BM24" i="1"/>
  <c r="BM13" i="1"/>
  <c r="BM22" i="1"/>
  <c r="BM17" i="1"/>
  <c r="BM16" i="1"/>
  <c r="BM12" i="1"/>
  <c r="H20" i="1"/>
  <c r="AA8" i="1"/>
  <c r="BQ8" i="1"/>
  <c r="BM19" i="1"/>
  <c r="BM20" i="1"/>
  <c r="BN3" i="1"/>
  <c r="BM15" i="1"/>
  <c r="G20" i="1" l="1"/>
  <c r="AC9" i="1"/>
  <c r="AC8" i="1"/>
  <c r="R23" i="1"/>
  <c r="V23" i="1"/>
  <c r="Y23" i="1"/>
  <c r="D23" i="1" s="1"/>
  <c r="C23" i="1" s="1"/>
  <c r="V20" i="1"/>
  <c r="R26" i="1"/>
  <c r="R20" i="1"/>
  <c r="V26" i="1"/>
  <c r="V25" i="1"/>
  <c r="V19" i="1" l="1"/>
  <c r="V22" i="1"/>
  <c r="AC15" i="1"/>
  <c r="AC21" i="1" s="1"/>
  <c r="V24" i="1" s="1"/>
  <c r="BD17" i="1"/>
  <c r="V21" i="1" l="1"/>
  <c r="V18" i="1"/>
</calcChain>
</file>

<file path=xl/sharedStrings.xml><?xml version="1.0" encoding="utf-8"?>
<sst xmlns="http://schemas.openxmlformats.org/spreadsheetml/2006/main" count="598" uniqueCount="261">
  <si>
    <t>Versão RJ</t>
  </si>
  <si>
    <t>Q-1</t>
  </si>
  <si>
    <t xml:space="preserve"> =&gt;&gt;&gt;</t>
  </si>
  <si>
    <t>&lt;&lt;&lt;= CÁLCULO DO CUSTO DE IMPORTAÇÃO  - PORTA A PORTA</t>
  </si>
  <si>
    <t>Q-2 =&gt;&gt;&gt;</t>
  </si>
  <si>
    <t>IMPORTADO</t>
  </si>
  <si>
    <t>Q-3 =&gt;&gt;&gt;</t>
  </si>
  <si>
    <t>Q-4 =&gt;&gt;&gt;</t>
  </si>
  <si>
    <t>&lt;&lt;&lt;=</t>
  </si>
  <si>
    <t>Q-5 =&gt;&gt;&gt;</t>
  </si>
  <si>
    <t>ð</t>
  </si>
  <si>
    <t>ï</t>
  </si>
  <si>
    <t>DATA</t>
  </si>
  <si>
    <t>IMPORT #</t>
  </si>
  <si>
    <t>CLIENTE</t>
  </si>
  <si>
    <t>SITUAÇÃO</t>
  </si>
  <si>
    <t>VERSÃO</t>
  </si>
  <si>
    <t>TRANSPORTE</t>
  </si>
  <si>
    <t>MOEDA</t>
  </si>
  <si>
    <t>ORIGEM</t>
  </si>
  <si>
    <t>=</t>
  </si>
  <si>
    <t>IMPORT  #</t>
  </si>
  <si>
    <t>SITUAÇÃO &gt;&gt;FASE 1&lt;&lt;&lt;</t>
  </si>
  <si>
    <t>S</t>
  </si>
  <si>
    <t>PREÇO R$</t>
  </si>
  <si>
    <t>EM</t>
  </si>
  <si>
    <t>01</t>
  </si>
  <si>
    <t>QUANTIDADE</t>
  </si>
  <si>
    <t>IMPORT # / CLIENTE</t>
  </si>
  <si>
    <t>REFERÊNCIA</t>
  </si>
  <si>
    <t>VARIAÇÃO R$</t>
  </si>
  <si>
    <t>ITEM</t>
  </si>
  <si>
    <t>PRODUTO</t>
  </si>
  <si>
    <t>PRATICADO</t>
  </si>
  <si>
    <t>TOTAL</t>
  </si>
  <si>
    <t>02</t>
  </si>
  <si>
    <t>03</t>
  </si>
  <si>
    <t>04</t>
  </si>
  <si>
    <t>05</t>
  </si>
  <si>
    <t>FOB TOTAL</t>
  </si>
  <si>
    <t>PESO T,K,M,C</t>
  </si>
  <si>
    <t>CÂMBIO  US</t>
  </si>
  <si>
    <t>FOB EM R$</t>
  </si>
  <si>
    <t>s/FOB</t>
  </si>
  <si>
    <t>FRETE MAR</t>
  </si>
  <si>
    <t>STATUS</t>
  </si>
  <si>
    <t>PARTE FRETE s/ FOB</t>
  </si>
  <si>
    <t>FRETE MARÍTIMO / AÉREO</t>
  </si>
  <si>
    <t>FOB BRUTO</t>
  </si>
  <si>
    <t>s/DSB</t>
  </si>
  <si>
    <t>FRETE AR</t>
  </si>
  <si>
    <t>N</t>
  </si>
  <si>
    <t>CUSTO FIXO + EXTRA</t>
  </si>
  <si>
    <t>DESCONTO</t>
  </si>
  <si>
    <t>CIF</t>
  </si>
  <si>
    <t>Æ</t>
  </si>
  <si>
    <t>PARTE IPI s/ C( I )F</t>
  </si>
  <si>
    <t xml:space="preserve">C+F </t>
  </si>
  <si>
    <t>JURO CAPITAL</t>
  </si>
  <si>
    <t>PARTE ICMS s/ C( I )F</t>
  </si>
  <si>
    <t>CPMF</t>
  </si>
  <si>
    <t>SEGURO TRANSPORTE</t>
  </si>
  <si>
    <t xml:space="preserve">I I </t>
  </si>
  <si>
    <t>MARINHA MERCANTE</t>
  </si>
  <si>
    <t>IPI</t>
  </si>
  <si>
    <t>ARMAZENAGEM MAR / AR</t>
  </si>
  <si>
    <t>DSC%</t>
  </si>
  <si>
    <t>ICMS</t>
  </si>
  <si>
    <t>SALÁRIO MÍNIMO</t>
  </si>
  <si>
    <t>R$</t>
  </si>
  <si>
    <t>CAPATAZIA</t>
  </si>
  <si>
    <t>DESCONTO EM TODAS QUANTIDADES E ITENS      =&gt;&gt;&gt;</t>
  </si>
  <si>
    <t>LICENÇA DE IMPORTAÇÃO</t>
  </si>
  <si>
    <t>C/R/D</t>
  </si>
  <si>
    <t>FRETE LOCAL</t>
  </si>
  <si>
    <t>SEGURO</t>
  </si>
  <si>
    <t>TOTAL  US  =&gt;&gt;&gt;</t>
  </si>
  <si>
    <t>DESPACHANTE GUIA LI</t>
  </si>
  <si>
    <t>TOTAL  R$  =&gt;&gt;&gt;</t>
  </si>
  <si>
    <t>DESPACH. DESEMBARAÇO</t>
  </si>
  <si>
    <t>CUSTO FIXO</t>
  </si>
  <si>
    <t>CUSTO MARÍTIMO</t>
  </si>
  <si>
    <t>CUSTO EXTRA</t>
  </si>
  <si>
    <t>CUSTO AÉREO</t>
  </si>
  <si>
    <t>OUTROS</t>
  </si>
  <si>
    <t>- x -</t>
  </si>
  <si>
    <t>=&gt;&gt;&gt;</t>
  </si>
  <si>
    <t>PARTE MERCADORIA</t>
  </si>
  <si>
    <t>TOTAL DA VARIAÇÃO  =&gt;&gt;&gt;</t>
  </si>
  <si>
    <t>òòò</t>
  </si>
  <si>
    <t>PARTE DESEMBARAÇO</t>
  </si>
  <si>
    <t>ñññ</t>
  </si>
  <si>
    <t>ñ</t>
  </si>
  <si>
    <t>=&gt;</t>
  </si>
  <si>
    <t>Autor deste produto: Hellmut H. Calen</t>
  </si>
  <si>
    <t>É expressamente vedada a reprodução total ou parcial para fins de processamento de dados com intuito comercial.</t>
  </si>
  <si>
    <t>Cópias deste produto somente serão permitidas com autorização da Impulse Assessoria de Negócios Ltda.</t>
  </si>
  <si>
    <t>Os dados para apuração dos custos referentes aos serviços dos portos e despachante aduaneiro, bem como</t>
  </si>
  <si>
    <t>taxas, estão em conformidade com os valores e porcentagens praticados no Estado indicado como sigla no</t>
  </si>
  <si>
    <t>título da planilha e são atuais na data desta versão.</t>
  </si>
  <si>
    <t>US</t>
  </si>
  <si>
    <t>EU</t>
  </si>
  <si>
    <t>COFINS</t>
  </si>
  <si>
    <t>Dólar EUA</t>
  </si>
  <si>
    <t>Euro</t>
  </si>
  <si>
    <t>Franco Suíço</t>
  </si>
  <si>
    <t>Libra Inglesa</t>
  </si>
  <si>
    <t>Yuan Chinês</t>
  </si>
  <si>
    <t>Yen Japonês</t>
  </si>
  <si>
    <t>FS</t>
  </si>
  <si>
    <t>DESPESA ADUANEIRA</t>
  </si>
  <si>
    <t>DESPESA ADUANA</t>
  </si>
  <si>
    <t>LR / LP</t>
  </si>
  <si>
    <t xml:space="preserve"> </t>
  </si>
  <si>
    <t>PIS</t>
  </si>
  <si>
    <t>1</t>
  </si>
  <si>
    <t xml:space="preserve">  IMPOSTOS / VENDA TOTAL</t>
  </si>
  <si>
    <t>FASE 1:     =&gt;</t>
  </si>
  <si>
    <t xml:space="preserve"> DIFERENÇA ENTRE FASES:   =&gt;</t>
  </si>
  <si>
    <t>RESUMO IMPOSTOS TOTAIS, SEGUNDO OS PARÂMETROS EM CURSO (R$), BASE:</t>
  </si>
  <si>
    <t>.</t>
  </si>
  <si>
    <t>RESUMO PREÇO DE REVENDA OU CUSTO DE IMPORTAÇÃO NA FASE 1, 2 OU 3</t>
  </si>
  <si>
    <t>ACIONADOS:       =&gt;&gt;&gt;</t>
  </si>
  <si>
    <t>DESTINO</t>
  </si>
  <si>
    <t>BB</t>
  </si>
  <si>
    <t>CC</t>
  </si>
  <si>
    <t>DD</t>
  </si>
  <si>
    <t>EE</t>
  </si>
  <si>
    <t>FATOR</t>
  </si>
  <si>
    <t xml:space="preserve"> CLIENTE FINAL</t>
  </si>
  <si>
    <t>CUSTO+FRETE</t>
  </si>
  <si>
    <t>&lt;=&gt;</t>
  </si>
  <si>
    <t xml:space="preserve">ORIGEM   =&gt; </t>
  </si>
  <si>
    <t>CUMULATIVO  =&gt;&gt;</t>
  </si>
  <si>
    <t>YC</t>
  </si>
  <si>
    <t>YJ</t>
  </si>
  <si>
    <t>-IPI-ICMS-</t>
  </si>
  <si>
    <t xml:space="preserve"> -PIS-COF-</t>
  </si>
  <si>
    <t>CUSTO TOTAL</t>
  </si>
  <si>
    <t>CONDIÇÃO</t>
  </si>
  <si>
    <t>FASE 1 - PREÇO</t>
  </si>
  <si>
    <t>FOB LÍQ-UNID</t>
  </si>
  <si>
    <t xml:space="preserve"> JURO CAP/DIA</t>
  </si>
  <si>
    <t>TR/PR</t>
  </si>
  <si>
    <t>Nº LIC</t>
  </si>
  <si>
    <t>10../5..</t>
  </si>
  <si>
    <t>ACIONADOS     =&gt;&gt;&gt;</t>
  </si>
  <si>
    <t>PARTE IMPOSTOS s/C( I )F</t>
  </si>
  <si>
    <t>DESP ADUANA</t>
  </si>
  <si>
    <t xml:space="preserve"> CRED FUT IMP</t>
  </si>
  <si>
    <t>CST E FRETE LOCAL</t>
  </si>
  <si>
    <t>LIC  IMPORTAÇÃO</t>
  </si>
  <si>
    <t>HONOR p/ LIC</t>
  </si>
  <si>
    <t>BASE CLC AGENTE</t>
  </si>
  <si>
    <t>VAR APURADA R$</t>
  </si>
  <si>
    <t>ACIONADA</t>
  </si>
  <si>
    <t>PRT PIS+COFINS s/ C( I )F</t>
  </si>
  <si>
    <t>PAGAMENTO REST OU TOTAL</t>
  </si>
  <si>
    <t>QUANT</t>
  </si>
  <si>
    <t>R$ s/IPI/UNIT</t>
  </si>
  <si>
    <t>VLR. R$/UNIT</t>
  </si>
  <si>
    <t>REST</t>
  </si>
  <si>
    <t>VAR %</t>
  </si>
  <si>
    <t>MÉDIO TOTAL</t>
  </si>
  <si>
    <t>DSPCH</t>
  </si>
  <si>
    <t>EP</t>
  </si>
  <si>
    <t>$O</t>
  </si>
  <si>
    <t>$S</t>
  </si>
  <si>
    <t>Outra Moeda</t>
  </si>
  <si>
    <t>Moeda Sulamericana</t>
  </si>
  <si>
    <t>X</t>
  </si>
  <si>
    <t>TOTAL CRÉDITO FUTURO</t>
  </si>
  <si>
    <t>Q-6 =&gt;&gt;&gt;</t>
  </si>
  <si>
    <t>Q-7</t>
  </si>
  <si>
    <t>CUSTOS ESTIMADOS NA FASE 1</t>
  </si>
  <si>
    <t>CÂMBIO US DE REFERÊNCIA</t>
  </si>
  <si>
    <t>LCRO PRÉ-IR (PREJUÍZO)</t>
  </si>
  <si>
    <t>TOT CRÉDITOS FUTUROS</t>
  </si>
  <si>
    <t>Esta planilha se destina como ferramenta de apoio pela assessoria em comércio exterior fornecida pela empresa.</t>
  </si>
  <si>
    <t>As siglas monetárias aceitas no campo "G4" = MOEDA DE IMPORTAÇÃO são :</t>
  </si>
  <si>
    <t>BASE</t>
  </si>
  <si>
    <t>LCR PRÉ-IR (PREJUÍZO)</t>
  </si>
  <si>
    <t>REVENDA EFETIVA ACIONADA (S/N) =&gt;&gt;</t>
  </si>
  <si>
    <t>CUSTO  EFETIVO IMPORTAÇÃO ACIONADO (S/N)               =&gt;&gt;&gt;</t>
  </si>
  <si>
    <t>s/REVENDA =&gt;&gt;</t>
  </si>
  <si>
    <t>TOT REVND R$</t>
  </si>
  <si>
    <t>ALTERAÇÕES DE PREÇOS DE REVENDA POR DESCONTOS PRATICADOS</t>
  </si>
  <si>
    <t>VALOR DE REVENDA GLOBAL EFETIVO:</t>
  </si>
  <si>
    <t>VALOR DE REVNDA ANTES PRATICADO:</t>
  </si>
  <si>
    <t>P</t>
  </si>
  <si>
    <t>AP-SG</t>
  </si>
  <si>
    <t>ITEM Nº</t>
  </si>
  <si>
    <t>STATUS LP/LR</t>
  </si>
  <si>
    <t>PIS-REVND =&gt;</t>
  </si>
  <si>
    <t>COFINS-RVD =&gt;</t>
  </si>
  <si>
    <t>IPI     IMPORT</t>
  </si>
  <si>
    <t>IMPOSTO IMP</t>
  </si>
  <si>
    <t>IMPOSTO IMPORT</t>
  </si>
  <si>
    <t>IPI            IMPORT</t>
  </si>
  <si>
    <t>PIS           IMPORT</t>
  </si>
  <si>
    <t>COFINS    IMPORT</t>
  </si>
  <si>
    <t>ICMS        IMPORT</t>
  </si>
  <si>
    <t xml:space="preserve">&lt;&lt;&lt;= CÁLCULO DO CUSTO DE VENDA TOTAL R$ POR </t>
  </si>
  <si>
    <t>IPI           REVENDA</t>
  </si>
  <si>
    <t>ICMS       REVENDA</t>
  </si>
  <si>
    <t>PIS          REVENDA</t>
  </si>
  <si>
    <t>COFINS   REVENDA</t>
  </si>
  <si>
    <t>CUSTO IMPORT</t>
  </si>
  <si>
    <t>&lt;&lt;&lt;= DETALHAMENTO DOS IMPOSTOS E CUSTOS OPERACIONAIS EM R$</t>
  </si>
  <si>
    <t>FATOR IMPORT</t>
  </si>
  <si>
    <t>IPI IMPORT CRÉDITO</t>
  </si>
  <si>
    <t>ICMS IMPORT CRÉDITO</t>
  </si>
  <si>
    <t>ICMS       REVENDEDOR</t>
  </si>
  <si>
    <t>ICMS       CONSUMIDOR</t>
  </si>
  <si>
    <t>COMISSÃO REVENDA</t>
  </si>
  <si>
    <t>PROP / TREINAMENTO</t>
  </si>
  <si>
    <t>EFETIVO</t>
  </si>
  <si>
    <t>ESTIMADO</t>
  </si>
  <si>
    <t>VARIAÇÃO</t>
  </si>
  <si>
    <t>&lt;&lt;&lt;= IMPORTAÇÃO, CUSTOS EFETIVOS E ESTIMADOS EM R$ (Reais)</t>
  </si>
  <si>
    <t>IMPOSTO  ICMS</t>
  </si>
  <si>
    <t>IMPOSTO  I I</t>
  </si>
  <si>
    <t>IMPOSTO  IPI</t>
  </si>
  <si>
    <t>IMPOSTO  PIS IMPORT</t>
  </si>
  <si>
    <t>ICMS REVNDA</t>
  </si>
  <si>
    <t>MARGEM PARA REVNDA</t>
  </si>
  <si>
    <t>ADIANTAMENTO MERCADRIA</t>
  </si>
  <si>
    <t>MAIS CST/UND</t>
  </si>
  <si>
    <t>ANOTAÇÕES DO USUÁRIO (Escrever na Coluna "AK", Linhas 20 a 26):</t>
  </si>
  <si>
    <t>LR</t>
  </si>
  <si>
    <t>C</t>
  </si>
  <si>
    <t>AA</t>
  </si>
  <si>
    <t>Æ FS-1 para FS-2 s/TOT</t>
  </si>
  <si>
    <t>Æ FS-2 para FS-3 s/TOT</t>
  </si>
  <si>
    <t>IPI               REVENDA</t>
  </si>
  <si>
    <t>QUANTIDADE E DESCONTO, ITEM 01                       =&gt;&gt;&gt;</t>
  </si>
  <si>
    <t>QUANTIDADE E DESCONTO, ITEM 02                       =&gt;&gt;&gt;</t>
  </si>
  <si>
    <t>QUANTIDADE E DESCONTO, ITEM 03                       =&gt;&gt;&gt;</t>
  </si>
  <si>
    <t>QUANTIDADE E DESCONTO, ITEM 04                       =&gt;&gt;&gt;</t>
  </si>
  <si>
    <t>PIS            REVENDA</t>
  </si>
  <si>
    <t>QUANTIDADE E DESCONTO, ITEM 05                       =&gt;&gt;&gt;</t>
  </si>
  <si>
    <t>IMPOSTO  COFINS IMPORT</t>
  </si>
  <si>
    <t>VALOR DE REVENDA GLOBAL A PRATICAR             =&gt;&gt;&gt;</t>
  </si>
  <si>
    <t>COFINS            REVENDA</t>
  </si>
  <si>
    <t>PIS     IMPORT</t>
  </si>
  <si>
    <t>COFINS    IMP</t>
  </si>
  <si>
    <t>ICMS IMPORT</t>
  </si>
  <si>
    <t>IPI        REVNDA</t>
  </si>
  <si>
    <r>
      <t>S/N</t>
    </r>
    <r>
      <rPr>
        <b/>
        <sz val="6"/>
        <color indexed="12"/>
        <rFont val="Arial"/>
        <family val="2"/>
      </rPr>
      <t xml:space="preserve"> </t>
    </r>
    <r>
      <rPr>
        <b/>
        <sz val="6"/>
        <color indexed="17"/>
        <rFont val="Arial"/>
        <family val="2"/>
      </rPr>
      <t>IPI</t>
    </r>
    <r>
      <rPr>
        <b/>
        <sz val="6"/>
        <color indexed="10"/>
        <rFont val="Arial"/>
        <family val="2"/>
      </rPr>
      <t>E</t>
    </r>
  </si>
  <si>
    <r>
      <t xml:space="preserve">FASE </t>
    </r>
    <r>
      <rPr>
        <b/>
        <sz val="6"/>
        <color indexed="12"/>
        <rFont val="Arial"/>
        <family val="2"/>
      </rPr>
      <t>1/2/3  P/M</t>
    </r>
  </si>
  <si>
    <r>
      <t>.</t>
    </r>
    <r>
      <rPr>
        <b/>
        <sz val="6"/>
        <color indexed="17"/>
        <rFont val="Arial"/>
        <family val="2"/>
      </rPr>
      <t>COM</t>
    </r>
  </si>
  <si>
    <t>PLANILHA DE DADOS, IMPORTAÇÃO                                       ==&gt;&gt;&gt;</t>
  </si>
  <si>
    <r>
      <t xml:space="preserve">Para suporte, treinamento e ajustes sob encomenda, entrar em contato pelo e-mail: </t>
    </r>
    <r>
      <rPr>
        <b/>
        <sz val="6"/>
        <color indexed="12"/>
        <rFont val="Arial"/>
        <family val="2"/>
      </rPr>
      <t>hhc@impulserio.com.br</t>
    </r>
  </si>
  <si>
    <t>- O deslocamento Quadro a Quadro se dá, teclando "Alt" + "Page Down" ou "Page Up"</t>
  </si>
  <si>
    <t>Freeware via Website</t>
  </si>
  <si>
    <t>- Para visão mais ampla da planilha: reduzir, mover e/ou ocultar as barras de menus no topo.</t>
  </si>
  <si>
    <r>
      <t>- Ajustar Quadro "Q-1": alterar a Escala até Seta "=&gt;&gt;&gt;" (em Linha 2) encontar a margem direita</t>
    </r>
    <r>
      <rPr>
        <b/>
        <sz val="6"/>
        <color indexed="12"/>
        <rFont val="Arial"/>
        <family val="2"/>
      </rPr>
      <t>.</t>
    </r>
  </si>
  <si>
    <t>Não nos responsabilizamos pela exatidão dos resultados e alterações da legislação e aplicação das alíquotas/custos.</t>
  </si>
  <si>
    <t>Resultados pela simulação de dados são meramente orientativos.</t>
  </si>
  <si>
    <t>- Configure em "Opções do Excel" =&gt; "Fórmulas" =&gt; "Opções de Cálculo": clique a caixa "Habilitar Cálculo Interativo".</t>
  </si>
  <si>
    <t>Copyright by Impulse Assessoria de Negócios Ltda. - V. 4.3.1 - 05/2014 - Freeware - hhc@impulserio.com.br - www.impulserio.com.br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</si>
</sst>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2">
    <numFmt numFmtId="164" formatCode="&quot;$&quot;#,##0.00_);\(&quot;$&quot;#,##0.00\)"/>
    <numFmt numFmtId="165" formatCode="General_)"/>
    <numFmt numFmtId="166" formatCode="#,##0.0000_);\(#,##0.0000\)"/>
    <numFmt numFmtId="167" formatCode="#,##0.00000_);\(#,##0.00000\)"/>
    <numFmt numFmtId="168" formatCode="dd\-mmm_)"/>
    <numFmt numFmtId="169" formatCode="#,##0.000_);\(#,##0.000\)"/>
    <numFmt numFmtId="170" formatCode="00"/>
    <numFmt numFmtId="171" formatCode="#,##0.0000"/>
    <numFmt numFmtId="172" formatCode="&quot;$&quot;#,##0.00"/>
    <numFmt numFmtId="173" formatCode="&quot;$&quot;#,##0.0000"/>
    <numFmt numFmtId="174" formatCode="0.0000"/>
    <numFmt numFmtId="175" formatCode="0.0%"/>
    <numFmt numFmtId="176" formatCode="0.00_);\(0.00\)"/>
    <numFmt numFmtId="177" formatCode="0.0000%"/>
    <numFmt numFmtId="178" formatCode="0_);\(0\)"/>
    <numFmt numFmtId="179" formatCode="0.00000_);\(0.00000\)"/>
    <numFmt numFmtId="180" formatCode="0.0000_);\(0.0000\)"/>
    <numFmt numFmtId="181" formatCode="0.0000%\ "/>
    <numFmt numFmtId="182" formatCode="#,##0.000"/>
    <numFmt numFmtId="183" formatCode="dd/mm/yyyy\ "/>
    <numFmt numFmtId="184" formatCode="00.0"/>
    <numFmt numFmtId="185" formatCode="000"/>
  </numFmts>
  <fonts count="38" x14ac:knownFonts="1">
    <font>
      <sz val="10"/>
      <name val="Courier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50"/>
      <name val="Arial"/>
      <family val="2"/>
    </font>
    <font>
      <sz val="8"/>
      <name val="Arial"/>
      <family val="2"/>
    </font>
    <font>
      <sz val="8"/>
      <name val="Courier"/>
      <family val="3"/>
    </font>
    <font>
      <sz val="13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indexed="50"/>
      <name val="Arial"/>
      <family val="2"/>
    </font>
    <font>
      <b/>
      <sz val="9"/>
      <color indexed="10"/>
      <name val="Wingdings"/>
      <charset val="2"/>
    </font>
    <font>
      <b/>
      <sz val="8"/>
      <color indexed="12"/>
      <name val="Arial"/>
      <family val="2"/>
    </font>
    <font>
      <sz val="8"/>
      <color indexed="50"/>
      <name val="Arial"/>
      <family val="2"/>
    </font>
    <font>
      <sz val="7"/>
      <name val="Arial"/>
      <family val="2"/>
    </font>
    <font>
      <b/>
      <sz val="7"/>
      <name val="Times New Roman"/>
      <family val="1"/>
    </font>
    <font>
      <sz val="8"/>
      <color indexed="12"/>
      <name val="Arial"/>
      <family val="2"/>
    </font>
    <font>
      <b/>
      <sz val="11"/>
      <color indexed="10"/>
      <name val="Wingdings"/>
      <charset val="2"/>
    </font>
    <font>
      <b/>
      <sz val="10"/>
      <color indexed="10"/>
      <name val="Wingdings"/>
      <charset val="2"/>
    </font>
    <font>
      <sz val="6"/>
      <color indexed="17"/>
      <name val="Arial"/>
      <family val="2"/>
    </font>
    <font>
      <sz val="8"/>
      <color theme="0"/>
      <name val="Arial"/>
      <family val="2"/>
    </font>
    <font>
      <b/>
      <sz val="6"/>
      <name val="Arial"/>
      <family val="2"/>
    </font>
    <font>
      <sz val="6"/>
      <name val="Arial"/>
      <family val="2"/>
    </font>
    <font>
      <b/>
      <sz val="6"/>
      <color indexed="8"/>
      <name val="Arial"/>
      <family val="2"/>
    </font>
    <font>
      <b/>
      <sz val="6"/>
      <color indexed="17"/>
      <name val="Arial"/>
      <family val="2"/>
    </font>
    <font>
      <b/>
      <sz val="6"/>
      <color indexed="50"/>
      <name val="Arial"/>
      <family val="2"/>
    </font>
    <font>
      <b/>
      <sz val="6"/>
      <color indexed="10"/>
      <name val="Arial"/>
      <family val="2"/>
    </font>
    <font>
      <b/>
      <sz val="6"/>
      <color indexed="12"/>
      <name val="Arial"/>
      <family val="2"/>
    </font>
    <font>
      <b/>
      <sz val="6"/>
      <color indexed="48"/>
      <name val="Arial"/>
      <family val="2"/>
    </font>
    <font>
      <sz val="6"/>
      <color indexed="12"/>
      <name val="Arial"/>
      <family val="2"/>
    </font>
    <font>
      <sz val="6"/>
      <color indexed="8"/>
      <name val="Arial"/>
      <family val="2"/>
    </font>
    <font>
      <sz val="6"/>
      <color indexed="50"/>
      <name val="Arial"/>
      <family val="2"/>
    </font>
    <font>
      <sz val="6"/>
      <color indexed="10"/>
      <name val="Arial"/>
      <family val="2"/>
    </font>
    <font>
      <sz val="6"/>
      <color indexed="39"/>
      <name val="Arial"/>
      <family val="2"/>
    </font>
    <font>
      <b/>
      <sz val="6"/>
      <color indexed="9"/>
      <name val="Arial"/>
      <family val="2"/>
    </font>
    <font>
      <sz val="6"/>
      <color indexed="9"/>
      <name val="Arial"/>
      <family val="2"/>
    </font>
    <font>
      <b/>
      <sz val="6"/>
      <color rgb="FFFF0000"/>
      <name val="Arial"/>
      <family val="2"/>
    </font>
    <font>
      <b/>
      <sz val="6"/>
      <color indexed="39"/>
      <name val="Arial"/>
      <family val="2"/>
    </font>
    <font>
      <b/>
      <sz val="6"/>
      <color indexed="10"/>
      <name val="Wingdings"/>
      <charset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17"/>
      </left>
      <right/>
      <top style="thin">
        <color indexed="17"/>
      </top>
      <bottom/>
      <diagonal/>
    </border>
    <border>
      <left/>
      <right style="thin">
        <color indexed="17"/>
      </right>
      <top style="thin">
        <color indexed="17"/>
      </top>
      <bottom/>
      <diagonal/>
    </border>
    <border>
      <left style="thin">
        <color indexed="12"/>
      </left>
      <right/>
      <top style="thin">
        <color indexed="12"/>
      </top>
      <bottom/>
      <diagonal/>
    </border>
    <border>
      <left/>
      <right style="thin">
        <color indexed="12"/>
      </right>
      <top style="thin">
        <color indexed="12"/>
      </top>
      <bottom/>
      <diagonal/>
    </border>
    <border>
      <left style="thin">
        <color indexed="17"/>
      </left>
      <right/>
      <top/>
      <bottom/>
      <diagonal/>
    </border>
    <border>
      <left/>
      <right style="thin">
        <color indexed="17"/>
      </right>
      <top/>
      <bottom/>
      <diagonal/>
    </border>
    <border>
      <left style="thin">
        <color indexed="12"/>
      </left>
      <right/>
      <top/>
      <bottom/>
      <diagonal/>
    </border>
    <border>
      <left/>
      <right style="thin">
        <color indexed="12"/>
      </right>
      <top/>
      <bottom/>
      <diagonal/>
    </border>
    <border>
      <left style="thin">
        <color indexed="17"/>
      </left>
      <right/>
      <top/>
      <bottom style="thin">
        <color indexed="17"/>
      </bottom>
      <diagonal/>
    </border>
    <border>
      <left style="thin">
        <color indexed="12"/>
      </left>
      <right/>
      <top/>
      <bottom style="thin">
        <color indexed="12"/>
      </bottom>
      <diagonal/>
    </border>
    <border>
      <left/>
      <right/>
      <top style="thin">
        <color indexed="12"/>
      </top>
      <bottom/>
      <diagonal/>
    </border>
    <border>
      <left/>
      <right/>
      <top/>
      <bottom style="thin">
        <color indexed="12"/>
      </bottom>
      <diagonal/>
    </border>
    <border>
      <left/>
      <right/>
      <top style="thin">
        <color indexed="17"/>
      </top>
      <bottom/>
      <diagonal/>
    </border>
    <border>
      <left/>
      <right/>
      <top/>
      <bottom style="thin">
        <color indexed="17"/>
      </bottom>
      <diagonal/>
    </border>
    <border>
      <left/>
      <right style="thin">
        <color indexed="17"/>
      </right>
      <top/>
      <bottom style="thin">
        <color indexed="17"/>
      </bottom>
      <diagonal/>
    </border>
    <border>
      <left/>
      <right style="thin">
        <color indexed="12"/>
      </right>
      <top/>
      <bottom style="thin">
        <color indexed="12"/>
      </bottom>
      <diagonal/>
    </border>
    <border>
      <left/>
      <right style="thin">
        <color indexed="17"/>
      </right>
      <top style="thin">
        <color indexed="17"/>
      </top>
      <bottom style="thin">
        <color indexed="64"/>
      </bottom>
      <diagonal/>
    </border>
    <border>
      <left style="thin">
        <color indexed="17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17"/>
      </right>
      <top style="thin">
        <color indexed="64"/>
      </top>
      <bottom style="thin">
        <color indexed="64"/>
      </bottom>
      <diagonal/>
    </border>
    <border>
      <left style="thin">
        <color indexed="17"/>
      </left>
      <right style="thin">
        <color indexed="17"/>
      </right>
      <top style="thin">
        <color indexed="64"/>
      </top>
      <bottom style="thin">
        <color indexed="17"/>
      </bottom>
      <diagonal/>
    </border>
    <border>
      <left style="thin">
        <color indexed="17"/>
      </left>
      <right style="thin">
        <color indexed="17"/>
      </right>
      <top style="thin">
        <color indexed="17"/>
      </top>
      <bottom style="thin">
        <color indexed="64"/>
      </bottom>
      <diagonal/>
    </border>
    <border>
      <left style="thin">
        <color indexed="17"/>
      </left>
      <right style="thin">
        <color indexed="64"/>
      </right>
      <top style="thin">
        <color indexed="64"/>
      </top>
      <bottom style="thin">
        <color indexed="17"/>
      </bottom>
      <diagonal/>
    </border>
    <border>
      <left style="thin">
        <color indexed="64"/>
      </left>
      <right style="thin">
        <color indexed="17"/>
      </right>
      <top style="thin">
        <color indexed="64"/>
      </top>
      <bottom style="thin">
        <color indexed="17"/>
      </bottom>
      <diagonal/>
    </border>
    <border>
      <left style="thin">
        <color indexed="17"/>
      </left>
      <right style="thin">
        <color indexed="64"/>
      </right>
      <top style="thin">
        <color indexed="17"/>
      </top>
      <bottom style="thin">
        <color indexed="17"/>
      </bottom>
      <diagonal/>
    </border>
    <border>
      <left style="thin">
        <color indexed="64"/>
      </left>
      <right style="thin">
        <color indexed="17"/>
      </right>
      <top style="thin">
        <color indexed="17"/>
      </top>
      <bottom style="thin">
        <color indexed="17"/>
      </bottom>
      <diagonal/>
    </border>
    <border>
      <left style="thin">
        <color indexed="17"/>
      </left>
      <right/>
      <top style="thin">
        <color indexed="17"/>
      </top>
      <bottom style="thin">
        <color indexed="64"/>
      </bottom>
      <diagonal/>
    </border>
    <border>
      <left/>
      <right style="thin">
        <color indexed="17"/>
      </right>
      <top/>
      <bottom style="thin">
        <color indexed="64"/>
      </bottom>
      <diagonal/>
    </border>
    <border>
      <left/>
      <right style="thin">
        <color indexed="17"/>
      </right>
      <top style="thin">
        <color indexed="64"/>
      </top>
      <bottom style="thin">
        <color indexed="17"/>
      </bottom>
      <diagonal/>
    </border>
    <border>
      <left style="thin">
        <color indexed="17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17"/>
      </right>
      <top style="thin">
        <color indexed="64"/>
      </top>
      <bottom/>
      <diagonal/>
    </border>
    <border>
      <left style="thin">
        <color indexed="17"/>
      </left>
      <right style="thin">
        <color indexed="17"/>
      </right>
      <top/>
      <bottom style="thin">
        <color indexed="64"/>
      </bottom>
      <diagonal/>
    </border>
    <border>
      <left style="thin">
        <color indexed="17"/>
      </left>
      <right style="thin">
        <color indexed="64"/>
      </right>
      <top style="thin">
        <color indexed="17"/>
      </top>
      <bottom style="thin">
        <color indexed="64"/>
      </bottom>
      <diagonal/>
    </border>
    <border>
      <left style="thin">
        <color indexed="64"/>
      </left>
      <right style="thin">
        <color indexed="17"/>
      </right>
      <top style="thin">
        <color indexed="17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165" fontId="0" fillId="0" borderId="0">
      <alignment vertical="center"/>
      <protection locked="0" hidden="1"/>
    </xf>
  </cellStyleXfs>
  <cellXfs count="498">
    <xf numFmtId="165" fontId="0" fillId="0" borderId="0" xfId="0">
      <alignment vertical="center"/>
      <protection locked="0" hidden="1"/>
    </xf>
    <xf numFmtId="39" fontId="16" fillId="0" borderId="0" xfId="0" quotePrefix="1" applyNumberFormat="1" applyFont="1" applyAlignment="1" applyProtection="1">
      <alignment horizontal="center" vertical="center"/>
      <protection hidden="1"/>
    </xf>
    <xf numFmtId="39" fontId="17" fillId="0" borderId="0" xfId="0" quotePrefix="1" applyNumberFormat="1" applyFont="1" applyAlignment="1" applyProtection="1">
      <alignment horizontal="center" vertical="center"/>
      <protection hidden="1"/>
    </xf>
    <xf numFmtId="165" fontId="6" fillId="0" borderId="0" xfId="0" applyNumberFormat="1" applyFont="1" applyAlignment="1" applyProtection="1">
      <alignment horizontal="center" vertical="center"/>
      <protection hidden="1"/>
    </xf>
    <xf numFmtId="165" fontId="1" fillId="0" borderId="0" xfId="0" applyFont="1" applyAlignment="1" applyProtection="1">
      <alignment vertical="center"/>
      <protection hidden="1"/>
    </xf>
    <xf numFmtId="49" fontId="1" fillId="0" borderId="0" xfId="0" applyNumberFormat="1" applyFont="1" applyAlignment="1" applyProtection="1">
      <alignment vertical="center"/>
      <protection hidden="1"/>
    </xf>
    <xf numFmtId="49" fontId="12" fillId="0" borderId="0" xfId="0" applyNumberFormat="1" applyFont="1" applyAlignment="1" applyProtection="1">
      <alignment vertical="center"/>
      <protection hidden="1"/>
    </xf>
    <xf numFmtId="49" fontId="11" fillId="0" borderId="0" xfId="0" applyNumberFormat="1" applyFont="1" applyAlignment="1" applyProtection="1">
      <alignment horizontal="center" vertical="center"/>
      <protection hidden="1"/>
    </xf>
    <xf numFmtId="39" fontId="15" fillId="0" borderId="0" xfId="0" applyNumberFormat="1" applyFont="1" applyAlignment="1" applyProtection="1">
      <alignment vertical="center"/>
      <protection hidden="1"/>
    </xf>
    <xf numFmtId="165" fontId="11" fillId="0" borderId="0" xfId="0" applyFont="1" applyAlignment="1" applyProtection="1">
      <alignment vertical="center"/>
      <protection hidden="1"/>
    </xf>
    <xf numFmtId="165" fontId="18" fillId="0" borderId="0" xfId="0" quotePrefix="1" applyFont="1" applyAlignment="1" applyProtection="1">
      <alignment vertical="center"/>
      <protection hidden="1"/>
    </xf>
    <xf numFmtId="49" fontId="10" fillId="0" borderId="0" xfId="0" applyNumberFormat="1" applyFont="1" applyAlignment="1" applyProtection="1">
      <alignment horizontal="center" vertical="center"/>
      <protection hidden="1"/>
    </xf>
    <xf numFmtId="49" fontId="8" fillId="0" borderId="0" xfId="0" applyNumberFormat="1" applyFont="1" applyAlignment="1" applyProtection="1">
      <alignment horizontal="center" vertical="center"/>
      <protection hidden="1"/>
    </xf>
    <xf numFmtId="1" fontId="13" fillId="0" borderId="0" xfId="0" applyNumberFormat="1" applyFont="1" applyAlignment="1" applyProtection="1">
      <alignment horizontal="center" vertical="center"/>
      <protection hidden="1"/>
    </xf>
    <xf numFmtId="165" fontId="14" fillId="0" borderId="0" xfId="0" quotePrefix="1" applyFont="1" applyAlignment="1" applyProtection="1">
      <alignment horizontal="left" vertical="center"/>
      <protection hidden="1"/>
    </xf>
    <xf numFmtId="49" fontId="13" fillId="0" borderId="0" xfId="0" applyNumberFormat="1" applyFont="1" applyAlignment="1" applyProtection="1">
      <alignment vertical="center"/>
      <protection hidden="1"/>
    </xf>
    <xf numFmtId="1" fontId="11" fillId="0" borderId="0" xfId="0" quotePrefix="1" applyNumberFormat="1" applyFont="1" applyAlignment="1" applyProtection="1">
      <alignment horizontal="center" vertical="center"/>
      <protection hidden="1"/>
    </xf>
    <xf numFmtId="49" fontId="9" fillId="0" borderId="0" xfId="0" applyNumberFormat="1" applyFont="1" applyAlignment="1" applyProtection="1">
      <alignment vertical="center"/>
      <protection hidden="1"/>
    </xf>
    <xf numFmtId="37" fontId="12" fillId="0" borderId="0" xfId="0" applyNumberFormat="1" applyFont="1" applyAlignment="1" applyProtection="1">
      <alignment horizontal="center" vertical="center"/>
      <protection hidden="1"/>
    </xf>
    <xf numFmtId="165" fontId="2" fillId="0" borderId="0" xfId="0" applyFont="1" applyAlignment="1" applyProtection="1">
      <alignment vertical="center"/>
      <protection hidden="1"/>
    </xf>
    <xf numFmtId="165" fontId="1" fillId="0" borderId="0" xfId="0" applyFont="1" applyAlignment="1" applyProtection="1">
      <alignment horizontal="right" vertical="center"/>
      <protection hidden="1"/>
    </xf>
    <xf numFmtId="49" fontId="2" fillId="0" borderId="0" xfId="0" applyNumberFormat="1" applyFont="1" applyAlignment="1" applyProtection="1">
      <alignment vertical="center"/>
      <protection hidden="1"/>
    </xf>
    <xf numFmtId="49" fontId="1" fillId="0" borderId="0" xfId="0" applyNumberFormat="1" applyFont="1" applyAlignment="1" applyProtection="1">
      <alignment horizontal="center" vertical="center"/>
      <protection hidden="1"/>
    </xf>
    <xf numFmtId="39" fontId="1" fillId="0" borderId="0" xfId="0" applyNumberFormat="1" applyFont="1" applyAlignment="1" applyProtection="1">
      <alignment horizontal="right" vertical="center"/>
      <protection hidden="1"/>
    </xf>
    <xf numFmtId="1" fontId="1" fillId="0" borderId="0" xfId="0" applyNumberFormat="1" applyFont="1" applyAlignment="1" applyProtection="1">
      <alignment horizontal="center" vertical="center"/>
      <protection hidden="1"/>
    </xf>
    <xf numFmtId="165" fontId="3" fillId="0" borderId="0" xfId="0" applyFont="1" applyAlignment="1" applyProtection="1">
      <alignment horizontal="center" vertical="center"/>
      <protection hidden="1"/>
    </xf>
    <xf numFmtId="39" fontId="1" fillId="0" borderId="0" xfId="0" applyNumberFormat="1" applyFont="1" applyAlignment="1" applyProtection="1">
      <alignment vertical="center"/>
      <protection hidden="1"/>
    </xf>
    <xf numFmtId="165" fontId="1" fillId="0" borderId="0" xfId="0" applyFont="1" applyAlignment="1" applyProtection="1">
      <alignment horizontal="center" vertical="center"/>
      <protection hidden="1"/>
    </xf>
    <xf numFmtId="165" fontId="2" fillId="0" borderId="0" xfId="0" applyFont="1" applyAlignment="1" applyProtection="1">
      <alignment horizontal="left" vertical="center"/>
      <protection hidden="1"/>
    </xf>
    <xf numFmtId="49" fontId="3" fillId="0" borderId="0" xfId="0" applyNumberFormat="1" applyFont="1" applyAlignment="1" applyProtection="1">
      <alignment horizontal="center" vertical="center"/>
      <protection hidden="1"/>
    </xf>
    <xf numFmtId="49" fontId="8" fillId="2" borderId="0" xfId="0" applyNumberFormat="1" applyFont="1" applyFill="1" applyAlignment="1" applyProtection="1">
      <alignment horizontal="center" vertical="center"/>
      <protection hidden="1"/>
    </xf>
    <xf numFmtId="165" fontId="8" fillId="2" borderId="0" xfId="0" applyFont="1" applyFill="1" applyAlignment="1" applyProtection="1">
      <alignment vertical="center"/>
      <protection hidden="1"/>
    </xf>
    <xf numFmtId="165" fontId="8" fillId="2" borderId="0" xfId="0" applyFont="1" applyFill="1" applyAlignment="1" applyProtection="1">
      <alignment horizontal="right" vertical="center"/>
      <protection hidden="1"/>
    </xf>
    <xf numFmtId="49" fontId="8" fillId="2" borderId="0" xfId="0" applyNumberFormat="1" applyFont="1" applyFill="1" applyAlignment="1" applyProtection="1">
      <alignment vertical="center"/>
      <protection hidden="1"/>
    </xf>
    <xf numFmtId="49" fontId="1" fillId="2" borderId="0" xfId="0" applyNumberFormat="1" applyFont="1" applyFill="1" applyAlignment="1" applyProtection="1">
      <alignment vertical="center"/>
      <protection hidden="1"/>
    </xf>
    <xf numFmtId="165" fontId="0" fillId="0" borderId="0" xfId="0" applyProtection="1">
      <alignment vertical="center"/>
      <protection hidden="1"/>
    </xf>
    <xf numFmtId="4" fontId="18" fillId="0" borderId="0" xfId="0" applyNumberFormat="1" applyFont="1" applyAlignment="1" applyProtection="1">
      <alignment horizontal="center" vertical="center"/>
      <protection hidden="1"/>
    </xf>
    <xf numFmtId="178" fontId="18" fillId="0" borderId="0" xfId="0" applyNumberFormat="1" applyFont="1" applyAlignment="1" applyProtection="1">
      <alignment horizontal="center" vertical="center"/>
      <protection hidden="1"/>
    </xf>
    <xf numFmtId="37" fontId="18" fillId="0" borderId="0" xfId="0" applyNumberFormat="1" applyFont="1" applyAlignment="1" applyProtection="1">
      <alignment horizontal="center" vertical="center"/>
      <protection hidden="1"/>
    </xf>
    <xf numFmtId="174" fontId="18" fillId="0" borderId="0" xfId="0" applyNumberFormat="1" applyFont="1" applyAlignment="1" applyProtection="1">
      <alignment horizontal="center" vertical="center"/>
      <protection hidden="1"/>
    </xf>
    <xf numFmtId="178" fontId="18" fillId="0" borderId="0" xfId="0" quotePrefix="1" applyNumberFormat="1" applyFont="1" applyAlignment="1" applyProtection="1">
      <alignment horizontal="center" vertical="center"/>
      <protection hidden="1"/>
    </xf>
    <xf numFmtId="10" fontId="18" fillId="0" borderId="0" xfId="0" quotePrefix="1" applyNumberFormat="1" applyFont="1" applyAlignment="1" applyProtection="1">
      <alignment horizontal="center" vertical="center"/>
      <protection hidden="1"/>
    </xf>
    <xf numFmtId="176" fontId="18" fillId="0" borderId="0" xfId="0" applyNumberFormat="1" applyFont="1" applyAlignment="1" applyProtection="1">
      <alignment horizontal="center" vertical="center"/>
      <protection hidden="1"/>
    </xf>
    <xf numFmtId="10" fontId="18" fillId="0" borderId="0" xfId="0" applyNumberFormat="1" applyFont="1" applyAlignment="1" applyProtection="1">
      <alignment horizontal="center" vertical="center"/>
      <protection hidden="1"/>
    </xf>
    <xf numFmtId="175" fontId="18" fillId="0" borderId="0" xfId="0" applyNumberFormat="1" applyFont="1" applyAlignment="1" applyProtection="1">
      <alignment horizontal="center" vertical="center"/>
      <protection hidden="1"/>
    </xf>
    <xf numFmtId="165" fontId="18" fillId="0" borderId="0" xfId="0" applyFont="1" applyAlignment="1" applyProtection="1">
      <alignment horizontal="center" vertical="center"/>
      <protection hidden="1"/>
    </xf>
    <xf numFmtId="49" fontId="4" fillId="0" borderId="0" xfId="0" applyNumberFormat="1" applyFont="1" applyFill="1" applyBorder="1" applyAlignment="1" applyProtection="1">
      <alignment vertical="center"/>
      <protection hidden="1"/>
    </xf>
    <xf numFmtId="180" fontId="18" fillId="0" borderId="0" xfId="0" applyNumberFormat="1" applyFont="1" applyAlignment="1" applyProtection="1">
      <alignment horizontal="center" vertical="center"/>
      <protection hidden="1"/>
    </xf>
    <xf numFmtId="2" fontId="18" fillId="0" borderId="0" xfId="0" applyNumberFormat="1" applyFont="1" applyAlignment="1" applyProtection="1">
      <alignment horizontal="center" vertical="center"/>
      <protection hidden="1"/>
    </xf>
    <xf numFmtId="1" fontId="18" fillId="0" borderId="0" xfId="0" applyNumberFormat="1" applyFont="1" applyAlignment="1" applyProtection="1">
      <alignment horizontal="center" vertical="center"/>
      <protection hidden="1"/>
    </xf>
    <xf numFmtId="39" fontId="16" fillId="0" borderId="0" xfId="0" quotePrefix="1" applyNumberFormat="1" applyFont="1" applyFill="1" applyAlignment="1" applyProtection="1">
      <alignment horizontal="center" vertical="center"/>
      <protection hidden="1"/>
    </xf>
    <xf numFmtId="10" fontId="18" fillId="0" borderId="0" xfId="0" quotePrefix="1" applyNumberFormat="1" applyFont="1" applyFill="1" applyAlignment="1" applyProtection="1">
      <alignment horizontal="center" vertical="center"/>
      <protection hidden="1"/>
    </xf>
    <xf numFmtId="178" fontId="18" fillId="0" borderId="0" xfId="0" applyNumberFormat="1" applyFont="1" applyFill="1" applyAlignment="1" applyProtection="1">
      <alignment horizontal="center" vertical="center"/>
      <protection hidden="1"/>
    </xf>
    <xf numFmtId="180" fontId="18" fillId="0" borderId="0" xfId="0" applyNumberFormat="1" applyFont="1" applyFill="1" applyAlignment="1" applyProtection="1">
      <alignment horizontal="center" vertical="center"/>
      <protection hidden="1"/>
    </xf>
    <xf numFmtId="1" fontId="18" fillId="0" borderId="0" xfId="0" applyNumberFormat="1" applyFont="1" applyFill="1" applyAlignment="1" applyProtection="1">
      <alignment horizontal="center" vertical="center"/>
      <protection hidden="1"/>
    </xf>
    <xf numFmtId="39" fontId="17" fillId="0" borderId="0" xfId="0" quotePrefix="1" applyNumberFormat="1" applyFont="1" applyFill="1" applyAlignment="1" applyProtection="1">
      <alignment horizontal="center" vertical="center"/>
      <protection hidden="1"/>
    </xf>
    <xf numFmtId="49" fontId="1" fillId="0" borderId="0" xfId="0" applyNumberFormat="1" applyFont="1" applyFill="1" applyAlignment="1" applyProtection="1">
      <alignment vertical="center"/>
      <protection hidden="1"/>
    </xf>
    <xf numFmtId="165" fontId="1" fillId="0" borderId="0" xfId="0" applyFont="1" applyFill="1" applyAlignment="1" applyProtection="1">
      <alignment vertical="center"/>
      <protection hidden="1"/>
    </xf>
    <xf numFmtId="10" fontId="18" fillId="0" borderId="0" xfId="0" applyNumberFormat="1" applyFont="1" applyFill="1" applyAlignment="1" applyProtection="1">
      <alignment horizontal="center" vertical="center"/>
      <protection hidden="1"/>
    </xf>
    <xf numFmtId="178" fontId="18" fillId="0" borderId="0" xfId="0" quotePrefix="1" applyNumberFormat="1" applyFont="1" applyFill="1" applyAlignment="1" applyProtection="1">
      <alignment horizontal="center" vertical="center"/>
      <protection hidden="1"/>
    </xf>
    <xf numFmtId="180" fontId="18" fillId="0" borderId="0" xfId="0" applyNumberFormat="1" applyFont="1" applyFill="1" applyAlignment="1" applyProtection="1">
      <alignment vertical="center"/>
      <protection hidden="1"/>
    </xf>
    <xf numFmtId="175" fontId="18" fillId="0" borderId="0" xfId="0" applyNumberFormat="1" applyFont="1" applyFill="1" applyAlignment="1" applyProtection="1">
      <alignment horizontal="center" vertical="center"/>
      <protection hidden="1"/>
    </xf>
    <xf numFmtId="4" fontId="18" fillId="0" borderId="0" xfId="0" applyNumberFormat="1" applyFont="1" applyFill="1" applyAlignment="1" applyProtection="1">
      <alignment horizontal="center" vertical="center"/>
      <protection hidden="1"/>
    </xf>
    <xf numFmtId="165" fontId="18" fillId="0" borderId="0" xfId="0" applyFont="1" applyFill="1" applyAlignment="1" applyProtection="1">
      <alignment horizontal="center" vertical="center"/>
      <protection hidden="1"/>
    </xf>
    <xf numFmtId="165" fontId="1" fillId="0" borderId="6" xfId="0" applyFont="1" applyBorder="1" applyAlignment="1" applyProtection="1">
      <alignment vertical="center"/>
      <protection hidden="1"/>
    </xf>
    <xf numFmtId="165" fontId="1" fillId="0" borderId="6" xfId="0" applyFont="1" applyFill="1" applyBorder="1" applyAlignment="1" applyProtection="1">
      <alignment vertical="center"/>
      <protection hidden="1"/>
    </xf>
    <xf numFmtId="49" fontId="10" fillId="0" borderId="6" xfId="0" applyNumberFormat="1" applyFont="1" applyBorder="1" applyAlignment="1" applyProtection="1">
      <alignment horizontal="center" vertical="center"/>
      <protection hidden="1"/>
    </xf>
    <xf numFmtId="49" fontId="1" fillId="0" borderId="6" xfId="0" applyNumberFormat="1" applyFont="1" applyBorder="1" applyAlignment="1" applyProtection="1">
      <alignment vertical="center"/>
      <protection hidden="1"/>
    </xf>
    <xf numFmtId="165" fontId="7" fillId="2" borderId="0" xfId="0" applyFont="1" applyFill="1" applyBorder="1" applyAlignment="1" applyProtection="1">
      <alignment vertical="center"/>
      <protection hidden="1"/>
    </xf>
    <xf numFmtId="165" fontId="2" fillId="0" borderId="0" xfId="0" applyFont="1" applyBorder="1" applyAlignment="1" applyProtection="1">
      <alignment vertical="center"/>
      <protection hidden="1"/>
    </xf>
    <xf numFmtId="178" fontId="18" fillId="0" borderId="11" xfId="0" applyNumberFormat="1" applyFont="1" applyBorder="1" applyAlignment="1" applyProtection="1">
      <alignment horizontal="right" vertical="center"/>
      <protection hidden="1"/>
    </xf>
    <xf numFmtId="178" fontId="18" fillId="0" borderId="8" xfId="0" applyNumberFormat="1" applyFont="1" applyBorder="1" applyAlignment="1" applyProtection="1">
      <alignment horizontal="right" vertical="center"/>
      <protection hidden="1"/>
    </xf>
    <xf numFmtId="178" fontId="18" fillId="0" borderId="8" xfId="0" applyNumberFormat="1" applyFont="1" applyBorder="1" applyAlignment="1" applyProtection="1">
      <alignment horizontal="center" vertical="center"/>
      <protection hidden="1"/>
    </xf>
    <xf numFmtId="178" fontId="18" fillId="0" borderId="8" xfId="0" applyNumberFormat="1" applyFont="1" applyBorder="1" applyAlignment="1" applyProtection="1">
      <alignment horizontal="left" vertical="center"/>
      <protection hidden="1"/>
    </xf>
    <xf numFmtId="178" fontId="18" fillId="0" borderId="5" xfId="0" applyNumberFormat="1" applyFont="1" applyBorder="1" applyAlignment="1" applyProtection="1">
      <alignment horizontal="left" vertical="center"/>
      <protection hidden="1"/>
    </xf>
    <xf numFmtId="178" fontId="18" fillId="0" borderId="11" xfId="0" applyNumberFormat="1" applyFont="1" applyBorder="1" applyAlignment="1" applyProtection="1">
      <alignment horizontal="left" vertical="center"/>
      <protection hidden="1"/>
    </xf>
    <xf numFmtId="178" fontId="18" fillId="0" borderId="5" xfId="0" applyNumberFormat="1" applyFont="1" applyBorder="1" applyAlignment="1" applyProtection="1">
      <alignment horizontal="center" vertical="center"/>
      <protection hidden="1"/>
    </xf>
    <xf numFmtId="178" fontId="18" fillId="0" borderId="11" xfId="0" applyNumberFormat="1" applyFont="1" applyBorder="1" applyAlignment="1" applyProtection="1">
      <alignment horizontal="center" vertical="center"/>
      <protection hidden="1"/>
    </xf>
    <xf numFmtId="178" fontId="18" fillId="0" borderId="1" xfId="0" applyNumberFormat="1" applyFont="1" applyBorder="1" applyAlignment="1" applyProtection="1">
      <alignment horizontal="center" vertical="center"/>
      <protection hidden="1"/>
    </xf>
    <xf numFmtId="0" fontId="18" fillId="0" borderId="1" xfId="0" applyNumberFormat="1" applyFont="1" applyBorder="1" applyAlignment="1" applyProtection="1">
      <alignment horizontal="center" vertical="center"/>
      <protection hidden="1"/>
    </xf>
    <xf numFmtId="49" fontId="19" fillId="0" borderId="0" xfId="0" applyNumberFormat="1" applyFont="1" applyFill="1" applyBorder="1" applyAlignment="1" applyProtection="1">
      <alignment vertical="center"/>
      <protection hidden="1"/>
    </xf>
    <xf numFmtId="165" fontId="20" fillId="0" borderId="0" xfId="0" applyNumberFormat="1" applyFont="1" applyAlignment="1" applyProtection="1">
      <alignment vertical="center"/>
      <protection hidden="1"/>
    </xf>
    <xf numFmtId="165" fontId="21" fillId="0" borderId="0" xfId="0" applyNumberFormat="1" applyFont="1" applyAlignment="1" applyProtection="1">
      <alignment vertical="center"/>
      <protection hidden="1"/>
    </xf>
    <xf numFmtId="165" fontId="21" fillId="0" borderId="0" xfId="0" applyNumberFormat="1" applyFont="1" applyAlignment="1" applyProtection="1">
      <alignment horizontal="center" vertical="center"/>
      <protection hidden="1"/>
    </xf>
    <xf numFmtId="165" fontId="22" fillId="0" borderId="1" xfId="0" applyNumberFormat="1" applyFont="1" applyBorder="1" applyAlignment="1" applyProtection="1">
      <alignment horizontal="center" vertical="center"/>
      <protection hidden="1"/>
    </xf>
    <xf numFmtId="165" fontId="23" fillId="0" borderId="1" xfId="0" applyNumberFormat="1" applyFont="1" applyBorder="1" applyAlignment="1" applyProtection="1">
      <alignment horizontal="right" vertical="center"/>
      <protection hidden="1"/>
    </xf>
    <xf numFmtId="49" fontId="20" fillId="5" borderId="11" xfId="0" applyNumberFormat="1" applyFont="1" applyFill="1" applyBorder="1" applyAlignment="1" applyProtection="1">
      <alignment horizontal="center" vertical="center"/>
      <protection locked="0" hidden="1"/>
    </xf>
    <xf numFmtId="165" fontId="20" fillId="0" borderId="0" xfId="0" applyNumberFormat="1" applyFont="1" applyAlignment="1" applyProtection="1">
      <alignment horizontal="center" vertical="center"/>
      <protection hidden="1"/>
    </xf>
    <xf numFmtId="165" fontId="20" fillId="0" borderId="0" xfId="0" applyNumberFormat="1" applyFont="1" applyAlignment="1" applyProtection="1">
      <alignment horizontal="right" vertical="center"/>
      <protection hidden="1"/>
    </xf>
    <xf numFmtId="165" fontId="20" fillId="0" borderId="0" xfId="0" applyFont="1" applyAlignment="1" applyProtection="1">
      <alignment horizontal="left" vertical="center"/>
      <protection hidden="1"/>
    </xf>
    <xf numFmtId="165" fontId="24" fillId="0" borderId="0" xfId="0" quotePrefix="1" applyFont="1" applyAlignment="1" applyProtection="1">
      <alignment horizontal="center" vertical="center"/>
      <protection hidden="1"/>
    </xf>
    <xf numFmtId="165" fontId="21" fillId="0" borderId="0" xfId="0" applyFont="1" applyAlignment="1" applyProtection="1">
      <alignment vertical="center"/>
      <protection hidden="1"/>
    </xf>
    <xf numFmtId="165" fontId="21" fillId="0" borderId="0" xfId="0" applyFont="1" applyAlignment="1" applyProtection="1">
      <alignment horizontal="center" vertical="center"/>
      <protection hidden="1"/>
    </xf>
    <xf numFmtId="49" fontId="22" fillId="0" borderId="0" xfId="0" applyNumberFormat="1" applyFont="1" applyAlignment="1" applyProtection="1">
      <alignment horizontal="right" vertical="center"/>
      <protection hidden="1"/>
    </xf>
    <xf numFmtId="165" fontId="20" fillId="0" borderId="0" xfId="0" applyFont="1" applyAlignment="1" applyProtection="1">
      <alignment horizontal="right" vertical="center"/>
      <protection hidden="1"/>
    </xf>
    <xf numFmtId="165" fontId="20" fillId="0" borderId="0" xfId="0" quotePrefix="1" applyFont="1" applyAlignment="1" applyProtection="1">
      <alignment horizontal="center" vertical="center"/>
      <protection hidden="1"/>
    </xf>
    <xf numFmtId="165" fontId="20" fillId="0" borderId="0" xfId="0" applyFont="1" applyAlignment="1" applyProtection="1">
      <alignment vertical="center"/>
      <protection hidden="1"/>
    </xf>
    <xf numFmtId="49" fontId="24" fillId="0" borderId="0" xfId="0" applyNumberFormat="1" applyFont="1" applyAlignment="1" applyProtection="1">
      <alignment horizontal="center" vertical="center"/>
      <protection hidden="1"/>
    </xf>
    <xf numFmtId="165" fontId="22" fillId="0" borderId="0" xfId="0" applyNumberFormat="1" applyFont="1" applyAlignment="1" applyProtection="1">
      <alignment horizontal="left" vertical="center"/>
      <protection hidden="1"/>
    </xf>
    <xf numFmtId="165" fontId="20" fillId="0" borderId="0" xfId="0" applyFont="1" applyBorder="1" applyAlignment="1" applyProtection="1">
      <alignment horizontal="left" vertical="center"/>
      <protection hidden="1"/>
    </xf>
    <xf numFmtId="165" fontId="21" fillId="0" borderId="0" xfId="0" applyFont="1" applyAlignment="1" applyProtection="1">
      <alignment horizontal="right" vertical="center"/>
      <protection hidden="1"/>
    </xf>
    <xf numFmtId="165" fontId="20" fillId="0" borderId="0" xfId="0" quotePrefix="1" applyFont="1" applyAlignment="1" applyProtection="1">
      <alignment horizontal="left" vertical="center"/>
      <protection hidden="1"/>
    </xf>
    <xf numFmtId="165" fontId="25" fillId="0" borderId="0" xfId="0" applyFont="1" applyAlignment="1" applyProtection="1">
      <alignment vertical="center"/>
      <protection hidden="1"/>
    </xf>
    <xf numFmtId="49" fontId="20" fillId="0" borderId="0" xfId="0" applyNumberFormat="1" applyFont="1" applyAlignment="1" applyProtection="1">
      <alignment vertical="center"/>
      <protection hidden="1"/>
    </xf>
    <xf numFmtId="39" fontId="21" fillId="0" borderId="0" xfId="0" applyNumberFormat="1" applyFont="1" applyAlignment="1" applyProtection="1">
      <alignment horizontal="right" vertical="center"/>
      <protection hidden="1"/>
    </xf>
    <xf numFmtId="1" fontId="21" fillId="0" borderId="0" xfId="0" applyNumberFormat="1" applyFont="1" applyAlignment="1" applyProtection="1">
      <alignment horizontal="center" vertical="center"/>
      <protection hidden="1"/>
    </xf>
    <xf numFmtId="39" fontId="20" fillId="0" borderId="0" xfId="0" applyNumberFormat="1" applyFont="1" applyBorder="1" applyAlignment="1" applyProtection="1">
      <alignment horizontal="center" vertical="center"/>
      <protection hidden="1"/>
    </xf>
    <xf numFmtId="165" fontId="23" fillId="0" borderId="1" xfId="0" applyFont="1" applyBorder="1" applyAlignment="1" applyProtection="1">
      <alignment horizontal="left" vertical="center"/>
      <protection hidden="1"/>
    </xf>
    <xf numFmtId="165" fontId="23" fillId="0" borderId="1" xfId="0" applyFont="1" applyBorder="1" applyAlignment="1" applyProtection="1">
      <alignment horizontal="center" vertical="center"/>
      <protection hidden="1"/>
    </xf>
    <xf numFmtId="165" fontId="23" fillId="0" borderId="3" xfId="0" applyFont="1" applyBorder="1" applyAlignment="1" applyProtection="1">
      <alignment horizontal="center" vertical="center"/>
      <protection hidden="1"/>
    </xf>
    <xf numFmtId="165" fontId="23" fillId="0" borderId="35" xfId="0" applyFont="1" applyBorder="1" applyAlignment="1" applyProtection="1">
      <alignment horizontal="left" vertical="center"/>
      <protection hidden="1"/>
    </xf>
    <xf numFmtId="165" fontId="23" fillId="0" borderId="31" xfId="0" applyFont="1" applyBorder="1" applyAlignment="1" applyProtection="1">
      <alignment horizontal="center" vertical="center"/>
      <protection hidden="1"/>
    </xf>
    <xf numFmtId="165" fontId="23" fillId="0" borderId="0" xfId="0" applyFont="1" applyAlignment="1" applyProtection="1">
      <alignment horizontal="left" vertical="center"/>
      <protection hidden="1"/>
    </xf>
    <xf numFmtId="165" fontId="23" fillId="0" borderId="0" xfId="0" applyFont="1" applyAlignment="1" applyProtection="1">
      <alignment horizontal="center" vertical="center"/>
      <protection hidden="1"/>
    </xf>
    <xf numFmtId="49" fontId="21" fillId="0" borderId="0" xfId="0" applyNumberFormat="1" applyFont="1" applyAlignment="1" applyProtection="1">
      <alignment horizontal="center" vertical="center"/>
      <protection hidden="1"/>
    </xf>
    <xf numFmtId="185" fontId="18" fillId="0" borderId="0" xfId="0" applyNumberFormat="1" applyFont="1" applyAlignment="1" applyProtection="1">
      <alignment horizontal="center" vertical="center"/>
      <protection hidden="1"/>
    </xf>
    <xf numFmtId="49" fontId="23" fillId="0" borderId="0" xfId="0" quotePrefix="1" applyNumberFormat="1" applyFont="1" applyAlignment="1" applyProtection="1">
      <alignment horizontal="center" vertical="center"/>
      <protection hidden="1"/>
    </xf>
    <xf numFmtId="185" fontId="23" fillId="0" borderId="0" xfId="0" applyNumberFormat="1" applyFont="1" applyAlignment="1" applyProtection="1">
      <alignment horizontal="center" vertical="center"/>
      <protection hidden="1"/>
    </xf>
    <xf numFmtId="49" fontId="18" fillId="0" borderId="0" xfId="0" applyNumberFormat="1" applyFont="1" applyAlignment="1" applyProtection="1">
      <alignment vertical="center"/>
      <protection hidden="1"/>
    </xf>
    <xf numFmtId="37" fontId="22" fillId="0" borderId="0" xfId="0" quotePrefix="1" applyNumberFormat="1" applyFont="1" applyAlignment="1" applyProtection="1">
      <alignment horizontal="left" vertical="center"/>
      <protection hidden="1"/>
    </xf>
    <xf numFmtId="1" fontId="25" fillId="0" borderId="0" xfId="0" applyNumberFormat="1" applyFont="1" applyAlignment="1" applyProtection="1">
      <alignment horizontal="center" vertical="center"/>
      <protection hidden="1"/>
    </xf>
    <xf numFmtId="165" fontId="23" fillId="0" borderId="0" xfId="0" applyNumberFormat="1" applyFont="1" applyAlignment="1" applyProtection="1">
      <alignment horizontal="left" vertical="center"/>
      <protection hidden="1"/>
    </xf>
    <xf numFmtId="49" fontId="22" fillId="0" borderId="0" xfId="0" applyNumberFormat="1" applyFont="1" applyAlignment="1" applyProtection="1">
      <alignment horizontal="center" vertical="center"/>
      <protection hidden="1"/>
    </xf>
    <xf numFmtId="165" fontId="22" fillId="0" borderId="0" xfId="0" applyFont="1" applyAlignment="1" applyProtection="1">
      <alignment horizontal="left" vertical="center"/>
      <protection hidden="1"/>
    </xf>
    <xf numFmtId="1" fontId="26" fillId="0" borderId="0" xfId="0" applyNumberFormat="1" applyFont="1" applyAlignment="1" applyProtection="1">
      <alignment horizontal="center" vertical="center"/>
      <protection hidden="1"/>
    </xf>
    <xf numFmtId="165" fontId="26" fillId="0" borderId="0" xfId="0" applyFont="1" applyAlignment="1" applyProtection="1">
      <alignment horizontal="left" vertical="center"/>
      <protection hidden="1"/>
    </xf>
    <xf numFmtId="165" fontId="25" fillId="0" borderId="0" xfId="0" applyFont="1" applyFill="1" applyBorder="1" applyAlignment="1" applyProtection="1">
      <alignment horizontal="left" vertical="center"/>
      <protection hidden="1"/>
    </xf>
    <xf numFmtId="165" fontId="25" fillId="0" borderId="0" xfId="0" applyFont="1" applyFill="1" applyBorder="1" applyAlignment="1" applyProtection="1">
      <alignment horizontal="right" vertical="center"/>
      <protection hidden="1"/>
    </xf>
    <xf numFmtId="49" fontId="25" fillId="0" borderId="0" xfId="0" applyNumberFormat="1" applyFont="1" applyAlignment="1" applyProtection="1">
      <alignment horizontal="right" vertical="center"/>
      <protection hidden="1"/>
    </xf>
    <xf numFmtId="165" fontId="20" fillId="5" borderId="1" xfId="0" applyFont="1" applyFill="1" applyBorder="1" applyAlignment="1" applyProtection="1">
      <alignment horizontal="center" vertical="center"/>
      <protection locked="0" hidden="1"/>
    </xf>
    <xf numFmtId="1" fontId="25" fillId="0" borderId="0" xfId="0" quotePrefix="1" applyNumberFormat="1" applyFont="1" applyAlignment="1" applyProtection="1">
      <alignment horizontal="center" vertical="center"/>
      <protection hidden="1"/>
    </xf>
    <xf numFmtId="178" fontId="22" fillId="0" borderId="0" xfId="0" applyNumberFormat="1" applyFont="1" applyAlignment="1" applyProtection="1">
      <alignment horizontal="left" vertical="center"/>
      <protection hidden="1"/>
    </xf>
    <xf numFmtId="178" fontId="27" fillId="0" borderId="0" xfId="0" applyNumberFormat="1" applyFont="1" applyAlignment="1" applyProtection="1">
      <alignment vertical="center"/>
      <protection hidden="1"/>
    </xf>
    <xf numFmtId="178" fontId="26" fillId="0" borderId="0" xfId="0" applyNumberFormat="1" applyFont="1" applyAlignment="1" applyProtection="1">
      <alignment horizontal="center" vertical="center"/>
      <protection hidden="1"/>
    </xf>
    <xf numFmtId="178" fontId="26" fillId="0" borderId="0" xfId="0" applyNumberFormat="1" applyFont="1" applyAlignment="1" applyProtection="1">
      <alignment vertical="center"/>
      <protection hidden="1"/>
    </xf>
    <xf numFmtId="178" fontId="22" fillId="0" borderId="0" xfId="0" applyNumberFormat="1" applyFont="1" applyAlignment="1" applyProtection="1">
      <alignment horizontal="right" vertical="center"/>
      <protection hidden="1"/>
    </xf>
    <xf numFmtId="178" fontId="22" fillId="0" borderId="0" xfId="0" applyNumberFormat="1" applyFont="1" applyAlignment="1" applyProtection="1">
      <alignment horizontal="center" vertical="center"/>
      <protection hidden="1"/>
    </xf>
    <xf numFmtId="49" fontId="25" fillId="0" borderId="0" xfId="0" applyNumberFormat="1" applyFont="1" applyFill="1" applyBorder="1" applyAlignment="1" applyProtection="1">
      <alignment horizontal="left" vertical="center"/>
      <protection hidden="1"/>
    </xf>
    <xf numFmtId="49" fontId="21" fillId="0" borderId="0" xfId="0" applyNumberFormat="1" applyFont="1" applyFill="1" applyBorder="1" applyAlignment="1" applyProtection="1">
      <alignment vertical="center"/>
      <protection hidden="1"/>
    </xf>
    <xf numFmtId="165" fontId="21" fillId="0" borderId="0" xfId="0" applyFont="1" applyFill="1" applyBorder="1" applyAlignment="1" applyProtection="1">
      <alignment vertical="center"/>
      <protection hidden="1"/>
    </xf>
    <xf numFmtId="1" fontId="25" fillId="0" borderId="0" xfId="0" applyNumberFormat="1" applyFont="1" applyAlignment="1" applyProtection="1">
      <alignment horizontal="right" vertical="center"/>
      <protection hidden="1"/>
    </xf>
    <xf numFmtId="14" fontId="20" fillId="5" borderId="1" xfId="0" applyNumberFormat="1" applyFont="1" applyFill="1" applyBorder="1" applyAlignment="1" applyProtection="1">
      <alignment horizontal="center" vertical="center"/>
      <protection locked="0" hidden="1"/>
    </xf>
    <xf numFmtId="185" fontId="20" fillId="5" borderId="1" xfId="0" applyNumberFormat="1" applyFont="1" applyFill="1" applyBorder="1" applyAlignment="1" applyProtection="1">
      <alignment horizontal="center" vertical="center"/>
      <protection locked="0" hidden="1"/>
    </xf>
    <xf numFmtId="49" fontId="20" fillId="5" borderId="1" xfId="0" applyNumberFormat="1" applyFont="1" applyFill="1" applyBorder="1" applyAlignment="1" applyProtection="1">
      <alignment horizontal="center" vertical="center"/>
      <protection locked="0" hidden="1"/>
    </xf>
    <xf numFmtId="170" fontId="20" fillId="5" borderId="1" xfId="0" applyNumberFormat="1" applyFont="1" applyFill="1" applyBorder="1" applyAlignment="1" applyProtection="1">
      <alignment horizontal="center" vertical="center"/>
      <protection locked="0" hidden="1"/>
    </xf>
    <xf numFmtId="49" fontId="20" fillId="5" borderId="3" xfId="0" applyNumberFormat="1" applyFont="1" applyFill="1" applyBorder="1" applyAlignment="1" applyProtection="1">
      <alignment horizontal="center" vertical="center"/>
      <protection locked="0" hidden="1"/>
    </xf>
    <xf numFmtId="49" fontId="22" fillId="5" borderId="34" xfId="0" applyNumberFormat="1" applyFont="1" applyFill="1" applyBorder="1" applyAlignment="1" applyProtection="1">
      <alignment horizontal="center" vertical="center"/>
      <protection locked="0" hidden="1"/>
    </xf>
    <xf numFmtId="165" fontId="20" fillId="5" borderId="42" xfId="0" applyFont="1" applyFill="1" applyBorder="1" applyAlignment="1" applyProtection="1">
      <alignment horizontal="center" vertical="center"/>
      <protection locked="0" hidden="1"/>
    </xf>
    <xf numFmtId="37" fontId="18" fillId="0" borderId="0" xfId="0" applyNumberFormat="1" applyFont="1" applyAlignment="1" applyProtection="1">
      <alignment vertical="center"/>
      <protection hidden="1"/>
    </xf>
    <xf numFmtId="49" fontId="18" fillId="0" borderId="0" xfId="0" applyNumberFormat="1" applyFont="1" applyAlignment="1" applyProtection="1">
      <alignment horizontal="left" vertical="center"/>
      <protection hidden="1"/>
    </xf>
    <xf numFmtId="165" fontId="23" fillId="0" borderId="0" xfId="0" applyFont="1" applyAlignment="1" applyProtection="1">
      <alignment vertical="center"/>
      <protection hidden="1"/>
    </xf>
    <xf numFmtId="0" fontId="18" fillId="0" borderId="0" xfId="0" applyNumberFormat="1" applyFont="1" applyAlignment="1" applyProtection="1">
      <alignment horizontal="center" vertical="center"/>
      <protection hidden="1"/>
    </xf>
    <xf numFmtId="37" fontId="26" fillId="0" borderId="0" xfId="0" quotePrefix="1" applyNumberFormat="1" applyFont="1" applyAlignment="1" applyProtection="1">
      <alignment horizontal="left" vertical="center"/>
      <protection hidden="1"/>
    </xf>
    <xf numFmtId="49" fontId="26" fillId="0" borderId="0" xfId="0" applyNumberFormat="1" applyFont="1" applyAlignment="1" applyProtection="1">
      <alignment horizontal="center" vertical="center"/>
      <protection hidden="1"/>
    </xf>
    <xf numFmtId="183" fontId="28" fillId="0" borderId="0" xfId="0" applyNumberFormat="1" applyFont="1" applyAlignment="1" applyProtection="1">
      <alignment vertical="center"/>
      <protection hidden="1"/>
    </xf>
    <xf numFmtId="1" fontId="23" fillId="0" borderId="0" xfId="0" applyNumberFormat="1" applyFont="1" applyAlignment="1" applyProtection="1">
      <alignment vertical="center"/>
      <protection hidden="1"/>
    </xf>
    <xf numFmtId="1" fontId="22" fillId="0" borderId="0" xfId="0" applyNumberFormat="1" applyFont="1" applyAlignment="1" applyProtection="1">
      <alignment horizontal="center" vertical="center"/>
      <protection hidden="1"/>
    </xf>
    <xf numFmtId="165" fontId="20" fillId="0" borderId="0" xfId="0" applyFont="1" applyAlignment="1" applyProtection="1">
      <alignment horizontal="center" vertical="center"/>
      <protection hidden="1"/>
    </xf>
    <xf numFmtId="37" fontId="20" fillId="0" borderId="0" xfId="0" applyNumberFormat="1" applyFont="1" applyAlignment="1" applyProtection="1">
      <alignment horizontal="center" vertical="center"/>
      <protection hidden="1"/>
    </xf>
    <xf numFmtId="165" fontId="22" fillId="0" borderId="0" xfId="0" applyFont="1" applyAlignment="1" applyProtection="1">
      <alignment horizontal="center" vertical="center"/>
      <protection hidden="1"/>
    </xf>
    <xf numFmtId="49" fontId="20" fillId="0" borderId="1" xfId="0" applyNumberFormat="1" applyFont="1" applyFill="1" applyBorder="1" applyAlignment="1" applyProtection="1">
      <alignment horizontal="center" vertical="center"/>
      <protection hidden="1"/>
    </xf>
    <xf numFmtId="49" fontId="20" fillId="0" borderId="3" xfId="0" applyNumberFormat="1" applyFont="1" applyFill="1" applyBorder="1" applyAlignment="1" applyProtection="1">
      <alignment horizontal="center" vertical="center"/>
      <protection hidden="1"/>
    </xf>
    <xf numFmtId="49" fontId="23" fillId="0" borderId="15" xfId="0" applyNumberFormat="1" applyFont="1" applyBorder="1" applyAlignment="1" applyProtection="1">
      <alignment vertical="center"/>
      <protection hidden="1"/>
    </xf>
    <xf numFmtId="165" fontId="25" fillId="0" borderId="31" xfId="0" applyFont="1" applyBorder="1" applyAlignment="1" applyProtection="1">
      <alignment vertical="center"/>
      <protection hidden="1"/>
    </xf>
    <xf numFmtId="39" fontId="18" fillId="0" borderId="0" xfId="0" applyNumberFormat="1" applyFont="1" applyAlignment="1" applyProtection="1">
      <alignment vertical="center"/>
      <protection hidden="1"/>
    </xf>
    <xf numFmtId="178" fontId="18" fillId="0" borderId="0" xfId="0" applyNumberFormat="1" applyFont="1" applyAlignment="1" applyProtection="1">
      <alignment horizontal="left" vertical="center"/>
      <protection hidden="1"/>
    </xf>
    <xf numFmtId="39" fontId="18" fillId="0" borderId="0" xfId="0" applyNumberFormat="1" applyFont="1" applyAlignment="1" applyProtection="1">
      <alignment horizontal="right" vertical="center"/>
      <protection hidden="1"/>
    </xf>
    <xf numFmtId="166" fontId="28" fillId="0" borderId="0" xfId="0" applyNumberFormat="1" applyFont="1" applyAlignment="1" applyProtection="1">
      <alignment vertical="center"/>
      <protection hidden="1"/>
    </xf>
    <xf numFmtId="165" fontId="22" fillId="0" borderId="2" xfId="0" applyFont="1" applyBorder="1" applyAlignment="1" applyProtection="1">
      <alignment horizontal="left" vertical="center"/>
      <protection hidden="1"/>
    </xf>
    <xf numFmtId="49" fontId="22" fillId="0" borderId="2" xfId="0" applyNumberFormat="1" applyFont="1" applyBorder="1" applyAlignment="1" applyProtection="1">
      <alignment horizontal="center" vertical="center"/>
      <protection hidden="1"/>
    </xf>
    <xf numFmtId="1" fontId="26" fillId="0" borderId="2" xfId="0" applyNumberFormat="1" applyFont="1" applyBorder="1" applyAlignment="1" applyProtection="1">
      <alignment horizontal="left" vertical="center"/>
      <protection hidden="1"/>
    </xf>
    <xf numFmtId="1" fontId="29" fillId="0" borderId="2" xfId="0" applyNumberFormat="1" applyFont="1" applyBorder="1" applyAlignment="1" applyProtection="1">
      <alignment horizontal="left" vertical="center"/>
      <protection hidden="1"/>
    </xf>
    <xf numFmtId="165" fontId="26" fillId="0" borderId="0" xfId="0" applyFont="1" applyAlignment="1" applyProtection="1">
      <alignment horizontal="center" vertical="center"/>
      <protection hidden="1"/>
    </xf>
    <xf numFmtId="1" fontId="26" fillId="0" borderId="0" xfId="0" applyNumberFormat="1" applyFont="1" applyBorder="1" applyAlignment="1" applyProtection="1">
      <alignment horizontal="center" vertical="center"/>
      <protection hidden="1"/>
    </xf>
    <xf numFmtId="165" fontId="26" fillId="0" borderId="2" xfId="0" applyFont="1" applyBorder="1" applyAlignment="1" applyProtection="1">
      <alignment horizontal="center" vertical="center"/>
      <protection hidden="1"/>
    </xf>
    <xf numFmtId="165" fontId="22" fillId="0" borderId="0" xfId="0" applyFont="1" applyBorder="1" applyAlignment="1" applyProtection="1">
      <alignment vertical="center"/>
      <protection hidden="1"/>
    </xf>
    <xf numFmtId="14" fontId="29" fillId="5" borderId="1" xfId="0" applyNumberFormat="1" applyFont="1" applyFill="1" applyBorder="1" applyAlignment="1" applyProtection="1">
      <alignment horizontal="center" vertical="center"/>
      <protection locked="0" hidden="1"/>
    </xf>
    <xf numFmtId="39" fontId="29" fillId="5" borderId="1" xfId="0" applyNumberFormat="1" applyFont="1" applyFill="1" applyBorder="1" applyAlignment="1" applyProtection="1">
      <alignment vertical="center"/>
      <protection locked="0"/>
    </xf>
    <xf numFmtId="39" fontId="29" fillId="5" borderId="1" xfId="0" applyNumberFormat="1" applyFont="1" applyFill="1" applyBorder="1" applyAlignment="1" applyProtection="1">
      <alignment vertical="center"/>
      <protection locked="0" hidden="1"/>
    </xf>
    <xf numFmtId="39" fontId="28" fillId="0" borderId="0" xfId="0" applyNumberFormat="1" applyFont="1" applyAlignment="1" applyProtection="1">
      <alignment vertical="center"/>
      <protection hidden="1"/>
    </xf>
    <xf numFmtId="10" fontId="28" fillId="0" borderId="0" xfId="0" applyNumberFormat="1" applyFont="1" applyAlignment="1" applyProtection="1">
      <alignment horizontal="center" vertical="center"/>
      <protection hidden="1"/>
    </xf>
    <xf numFmtId="49" fontId="23" fillId="0" borderId="0" xfId="0" applyNumberFormat="1" applyFont="1" applyAlignment="1" applyProtection="1">
      <alignment horizontal="center" vertical="center"/>
      <protection hidden="1"/>
    </xf>
    <xf numFmtId="165" fontId="18" fillId="0" borderId="0" xfId="0" applyFont="1" applyAlignment="1" applyProtection="1">
      <alignment horizontal="left" vertical="center"/>
      <protection hidden="1"/>
    </xf>
    <xf numFmtId="37" fontId="28" fillId="0" borderId="0" xfId="0" applyNumberFormat="1" applyFont="1" applyAlignment="1" applyProtection="1">
      <alignment horizontal="right" vertical="center"/>
      <protection hidden="1"/>
    </xf>
    <xf numFmtId="49" fontId="20" fillId="0" borderId="0" xfId="0" applyNumberFormat="1" applyFont="1" applyFill="1" applyAlignment="1" applyProtection="1">
      <alignment vertical="center"/>
      <protection hidden="1"/>
    </xf>
    <xf numFmtId="49" fontId="21" fillId="0" borderId="0" xfId="0" applyNumberFormat="1" applyFont="1" applyFill="1" applyAlignment="1" applyProtection="1">
      <alignment vertical="center"/>
      <protection hidden="1"/>
    </xf>
    <xf numFmtId="39" fontId="22" fillId="0" borderId="0" xfId="0" applyNumberFormat="1" applyFont="1" applyFill="1" applyAlignment="1" applyProtection="1">
      <alignment horizontal="center" vertical="center"/>
      <protection hidden="1"/>
    </xf>
    <xf numFmtId="1" fontId="25" fillId="0" borderId="0" xfId="0" applyNumberFormat="1" applyFont="1" applyFill="1" applyAlignment="1" applyProtection="1">
      <alignment horizontal="center" vertical="center"/>
      <protection hidden="1"/>
    </xf>
    <xf numFmtId="49" fontId="25" fillId="0" borderId="0" xfId="0" applyNumberFormat="1" applyFont="1" applyFill="1" applyAlignment="1" applyProtection="1">
      <alignment horizontal="center" vertical="center"/>
      <protection hidden="1"/>
    </xf>
    <xf numFmtId="165" fontId="21" fillId="0" borderId="0" xfId="0" applyFont="1" applyFill="1" applyAlignment="1" applyProtection="1">
      <alignment vertical="center"/>
      <protection hidden="1"/>
    </xf>
    <xf numFmtId="1" fontId="20" fillId="5" borderId="32" xfId="0" applyNumberFormat="1" applyFont="1" applyFill="1" applyBorder="1" applyAlignment="1" applyProtection="1">
      <alignment horizontal="center" vertical="center"/>
      <protection locked="0" hidden="1"/>
    </xf>
    <xf numFmtId="10" fontId="20" fillId="5" borderId="33" xfId="0" applyNumberFormat="1" applyFont="1" applyFill="1" applyBorder="1" applyAlignment="1" applyProtection="1">
      <alignment horizontal="center" vertical="center"/>
      <protection locked="0" hidden="1"/>
    </xf>
    <xf numFmtId="169" fontId="18" fillId="0" borderId="0" xfId="0" applyNumberFormat="1" applyFont="1" applyAlignment="1" applyProtection="1">
      <alignment vertical="center"/>
      <protection hidden="1"/>
    </xf>
    <xf numFmtId="170" fontId="18" fillId="0" borderId="0" xfId="0" applyNumberFormat="1" applyFont="1" applyAlignment="1" applyProtection="1">
      <alignment horizontal="center" vertical="center"/>
      <protection hidden="1"/>
    </xf>
    <xf numFmtId="11" fontId="23" fillId="0" borderId="0" xfId="0" applyNumberFormat="1" applyFont="1" applyBorder="1" applyAlignment="1" applyProtection="1">
      <alignment horizontal="left" vertical="center"/>
      <protection hidden="1"/>
    </xf>
    <xf numFmtId="165" fontId="23" fillId="0" borderId="0" xfId="0" applyFont="1" applyBorder="1" applyAlignment="1" applyProtection="1">
      <alignment horizontal="center" vertical="center"/>
      <protection hidden="1"/>
    </xf>
    <xf numFmtId="166" fontId="18" fillId="0" borderId="9" xfId="0" applyNumberFormat="1" applyFont="1" applyBorder="1" applyAlignment="1" applyProtection="1">
      <alignment vertical="center"/>
      <protection hidden="1"/>
    </xf>
    <xf numFmtId="178" fontId="23" fillId="0" borderId="0" xfId="0" applyNumberFormat="1" applyFont="1" applyFill="1" applyBorder="1" applyAlignment="1" applyProtection="1">
      <alignment horizontal="center" vertical="center"/>
      <protection hidden="1"/>
    </xf>
    <xf numFmtId="1" fontId="26" fillId="0" borderId="9" xfId="0" applyNumberFormat="1" applyFont="1" applyBorder="1" applyAlignment="1" applyProtection="1">
      <alignment horizontal="center" vertical="center"/>
      <protection hidden="1"/>
    </xf>
    <xf numFmtId="49" fontId="26" fillId="0" borderId="10" xfId="0" applyNumberFormat="1" applyFont="1" applyBorder="1" applyAlignment="1" applyProtection="1">
      <alignment horizontal="center" vertical="center"/>
      <protection hidden="1"/>
    </xf>
    <xf numFmtId="166" fontId="28" fillId="0" borderId="10" xfId="0" applyNumberFormat="1" applyFont="1" applyBorder="1" applyAlignment="1" applyProtection="1">
      <alignment horizontal="right" vertical="center"/>
      <protection hidden="1"/>
    </xf>
    <xf numFmtId="165" fontId="22" fillId="0" borderId="0" xfId="0" applyFont="1" applyBorder="1" applyAlignment="1" applyProtection="1">
      <alignment horizontal="left" vertical="center"/>
      <protection hidden="1"/>
    </xf>
    <xf numFmtId="39" fontId="22" fillId="0" borderId="0" xfId="0" applyNumberFormat="1" applyFont="1" applyFill="1" applyAlignment="1" applyProtection="1">
      <alignment horizontal="left" vertical="center"/>
      <protection hidden="1"/>
    </xf>
    <xf numFmtId="39" fontId="29" fillId="0" borderId="0" xfId="0" applyNumberFormat="1" applyFont="1" applyFill="1" applyAlignment="1" applyProtection="1">
      <alignment horizontal="left" vertical="center"/>
      <protection hidden="1"/>
    </xf>
    <xf numFmtId="1" fontId="26" fillId="0" borderId="0" xfId="0" applyNumberFormat="1" applyFont="1" applyFill="1" applyAlignment="1" applyProtection="1">
      <alignment horizontal="center" vertical="center"/>
      <protection hidden="1"/>
    </xf>
    <xf numFmtId="184" fontId="21" fillId="5" borderId="1" xfId="0" applyNumberFormat="1" applyFont="1" applyFill="1" applyBorder="1" applyAlignment="1" applyProtection="1">
      <alignment horizontal="center" vertical="center"/>
      <protection locked="0" hidden="1"/>
    </xf>
    <xf numFmtId="1" fontId="22" fillId="0" borderId="0" xfId="0" applyNumberFormat="1" applyFont="1" applyFill="1" applyAlignment="1" applyProtection="1">
      <alignment horizontal="center" vertical="center"/>
      <protection hidden="1"/>
    </xf>
    <xf numFmtId="1" fontId="30" fillId="0" borderId="0" xfId="0" applyNumberFormat="1" applyFont="1" applyFill="1" applyBorder="1" applyAlignment="1" applyProtection="1">
      <alignment horizontal="center" vertical="center"/>
      <protection hidden="1"/>
    </xf>
    <xf numFmtId="182" fontId="21" fillId="5" borderId="1" xfId="0" applyNumberFormat="1" applyFont="1" applyFill="1" applyBorder="1" applyAlignment="1" applyProtection="1">
      <alignment horizontal="center" vertical="center"/>
      <protection locked="0"/>
    </xf>
    <xf numFmtId="165" fontId="20" fillId="5" borderId="32" xfId="0" applyFont="1" applyFill="1" applyBorder="1" applyAlignment="1" applyProtection="1">
      <alignment horizontal="center" vertical="center"/>
      <protection locked="0" hidden="1"/>
    </xf>
    <xf numFmtId="165" fontId="23" fillId="0" borderId="33" xfId="0" applyFont="1" applyBorder="1" applyAlignment="1" applyProtection="1">
      <alignment horizontal="center" vertical="center"/>
      <protection hidden="1"/>
    </xf>
    <xf numFmtId="183" fontId="18" fillId="0" borderId="2" xfId="0" applyNumberFormat="1" applyFont="1" applyBorder="1" applyAlignment="1" applyProtection="1">
      <alignment horizontal="center" vertical="center"/>
      <protection hidden="1"/>
    </xf>
    <xf numFmtId="183" fontId="28" fillId="0" borderId="2" xfId="0" applyNumberFormat="1" applyFont="1" applyBorder="1" applyAlignment="1" applyProtection="1">
      <alignment horizontal="center" vertical="center"/>
      <protection hidden="1"/>
    </xf>
    <xf numFmtId="177" fontId="18" fillId="0" borderId="0" xfId="0" applyNumberFormat="1" applyFont="1" applyAlignment="1" applyProtection="1">
      <alignment vertical="center"/>
      <protection hidden="1"/>
    </xf>
    <xf numFmtId="165" fontId="23" fillId="0" borderId="2" xfId="0" applyFont="1" applyBorder="1" applyAlignment="1" applyProtection="1">
      <alignment horizontal="left" vertical="center"/>
      <protection hidden="1"/>
    </xf>
    <xf numFmtId="165" fontId="23" fillId="0" borderId="2" xfId="0" applyFont="1" applyBorder="1" applyAlignment="1" applyProtection="1">
      <alignment horizontal="center" vertical="center"/>
      <protection hidden="1"/>
    </xf>
    <xf numFmtId="166" fontId="18" fillId="0" borderId="2" xfId="0" applyNumberFormat="1" applyFont="1" applyBorder="1" applyAlignment="1" applyProtection="1">
      <alignment vertical="center"/>
      <protection hidden="1"/>
    </xf>
    <xf numFmtId="1" fontId="23" fillId="0" borderId="2" xfId="0" applyNumberFormat="1" applyFont="1" applyBorder="1" applyAlignment="1" applyProtection="1">
      <alignment horizontal="center" vertical="center"/>
      <protection hidden="1"/>
    </xf>
    <xf numFmtId="166" fontId="18" fillId="0" borderId="7" xfId="0" applyNumberFormat="1" applyFont="1" applyBorder="1" applyAlignment="1" applyProtection="1">
      <alignment horizontal="right" vertical="center"/>
      <protection hidden="1"/>
    </xf>
    <xf numFmtId="166" fontId="28" fillId="2" borderId="3" xfId="0" applyNumberFormat="1" applyFont="1" applyFill="1" applyBorder="1" applyAlignment="1" applyProtection="1">
      <alignment horizontal="right" vertical="center"/>
      <protection hidden="1"/>
    </xf>
    <xf numFmtId="166" fontId="28" fillId="2" borderId="10" xfId="0" applyNumberFormat="1" applyFont="1" applyFill="1" applyBorder="1" applyAlignment="1" applyProtection="1">
      <alignment horizontal="right" vertical="center"/>
      <protection hidden="1"/>
    </xf>
    <xf numFmtId="166" fontId="28" fillId="2" borderId="48" xfId="0" applyNumberFormat="1" applyFont="1" applyFill="1" applyBorder="1" applyAlignment="1" applyProtection="1">
      <alignment horizontal="right" vertical="center"/>
      <protection hidden="1"/>
    </xf>
    <xf numFmtId="39" fontId="29" fillId="0" borderId="0" xfId="0" applyNumberFormat="1" applyFont="1" applyFill="1" applyAlignment="1" applyProtection="1">
      <alignment horizontal="right" vertical="center"/>
      <protection hidden="1"/>
    </xf>
    <xf numFmtId="170" fontId="21" fillId="5" borderId="1" xfId="0" applyNumberFormat="1" applyFont="1" applyFill="1" applyBorder="1" applyAlignment="1" applyProtection="1">
      <alignment horizontal="center" vertical="center"/>
      <protection locked="0" hidden="1"/>
    </xf>
    <xf numFmtId="39" fontId="21" fillId="0" borderId="0" xfId="0" applyNumberFormat="1" applyFont="1" applyFill="1" applyBorder="1" applyAlignment="1" applyProtection="1">
      <alignment vertical="center"/>
      <protection hidden="1"/>
    </xf>
    <xf numFmtId="164" fontId="21" fillId="5" borderId="1" xfId="0" applyNumberFormat="1" applyFont="1" applyFill="1" applyBorder="1" applyAlignment="1" applyProtection="1">
      <alignment horizontal="center" vertical="center"/>
      <protection locked="0"/>
    </xf>
    <xf numFmtId="1" fontId="22" fillId="5" borderId="43" xfId="0" applyNumberFormat="1" applyFont="1" applyFill="1" applyBorder="1" applyAlignment="1" applyProtection="1">
      <alignment horizontal="center" vertical="center"/>
      <protection locked="0" hidden="1"/>
    </xf>
    <xf numFmtId="165" fontId="23" fillId="0" borderId="44" xfId="0" applyFont="1" applyBorder="1" applyAlignment="1" applyProtection="1">
      <alignment horizontal="center" vertical="center"/>
      <protection hidden="1"/>
    </xf>
    <xf numFmtId="165" fontId="25" fillId="4" borderId="3" xfId="0" applyFont="1" applyFill="1" applyBorder="1" applyAlignment="1" applyProtection="1">
      <alignment horizontal="right" vertical="center"/>
      <protection hidden="1"/>
    </xf>
    <xf numFmtId="165" fontId="22" fillId="5" borderId="1" xfId="0" applyFont="1" applyFill="1" applyBorder="1" applyAlignment="1" applyProtection="1">
      <alignment horizontal="center" vertical="center"/>
      <protection locked="0" hidden="1"/>
    </xf>
    <xf numFmtId="165" fontId="26" fillId="4" borderId="4" xfId="0" applyFont="1" applyFill="1" applyBorder="1" applyAlignment="1" applyProtection="1">
      <alignment horizontal="center" vertical="center"/>
      <protection hidden="1"/>
    </xf>
    <xf numFmtId="165" fontId="26" fillId="0" borderId="0" xfId="0" applyFont="1" applyAlignment="1" applyProtection="1">
      <alignment vertical="center"/>
      <protection hidden="1"/>
    </xf>
    <xf numFmtId="181" fontId="28" fillId="0" borderId="0" xfId="0" applyNumberFormat="1" applyFont="1" applyAlignment="1" applyProtection="1">
      <alignment vertical="center"/>
      <protection hidden="1"/>
    </xf>
    <xf numFmtId="165" fontId="23" fillId="0" borderId="0" xfId="0" applyFont="1" applyBorder="1" applyAlignment="1" applyProtection="1">
      <alignment horizontal="left" vertical="center"/>
      <protection hidden="1"/>
    </xf>
    <xf numFmtId="49" fontId="26" fillId="0" borderId="0" xfId="0" applyNumberFormat="1" applyFont="1" applyBorder="1" applyAlignment="1" applyProtection="1">
      <alignment horizontal="center" vertical="center"/>
      <protection hidden="1"/>
    </xf>
    <xf numFmtId="166" fontId="28" fillId="0" borderId="0" xfId="0" applyNumberFormat="1" applyFont="1" applyBorder="1" applyAlignment="1" applyProtection="1">
      <alignment horizontal="right" vertical="center"/>
      <protection hidden="1"/>
    </xf>
    <xf numFmtId="10" fontId="21" fillId="5" borderId="1" xfId="0" applyNumberFormat="1" applyFont="1" applyFill="1" applyBorder="1" applyAlignment="1" applyProtection="1">
      <alignment horizontal="center" vertical="center"/>
      <protection locked="0"/>
    </xf>
    <xf numFmtId="10" fontId="23" fillId="0" borderId="46" xfId="0" applyNumberFormat="1" applyFont="1" applyBorder="1" applyAlignment="1" applyProtection="1">
      <alignment horizontal="center" vertical="center"/>
      <protection hidden="1"/>
    </xf>
    <xf numFmtId="10" fontId="23" fillId="0" borderId="47" xfId="0" applyNumberFormat="1" applyFont="1" applyBorder="1" applyAlignment="1" applyProtection="1">
      <alignment horizontal="center" vertical="center"/>
      <protection hidden="1"/>
    </xf>
    <xf numFmtId="165" fontId="26" fillId="0" borderId="0" xfId="0" quotePrefix="1" applyFont="1" applyAlignment="1" applyProtection="1">
      <alignment horizontal="left" vertical="center"/>
      <protection hidden="1"/>
    </xf>
    <xf numFmtId="10" fontId="28" fillId="0" borderId="0" xfId="0" applyNumberFormat="1" applyFont="1" applyAlignment="1" applyProtection="1">
      <alignment vertical="center"/>
      <protection hidden="1"/>
    </xf>
    <xf numFmtId="165" fontId="28" fillId="0" borderId="0" xfId="0" applyFont="1" applyAlignment="1" applyProtection="1">
      <alignment horizontal="left" vertical="center"/>
      <protection hidden="1"/>
    </xf>
    <xf numFmtId="49" fontId="20" fillId="0" borderId="0" xfId="0" applyNumberFormat="1" applyFont="1" applyAlignment="1" applyProtection="1">
      <alignment horizontal="left" vertical="center"/>
      <protection hidden="1"/>
    </xf>
    <xf numFmtId="165" fontId="26" fillId="4" borderId="5" xfId="0" applyFont="1" applyFill="1" applyBorder="1" applyAlignment="1" applyProtection="1">
      <alignment horizontal="center" vertical="center"/>
      <protection hidden="1"/>
    </xf>
    <xf numFmtId="39" fontId="23" fillId="0" borderId="0" xfId="0" applyNumberFormat="1" applyFont="1" applyAlignment="1" applyProtection="1">
      <alignment vertical="center"/>
      <protection hidden="1"/>
    </xf>
    <xf numFmtId="166" fontId="18" fillId="0" borderId="0" xfId="0" applyNumberFormat="1" applyFont="1" applyBorder="1" applyAlignment="1" applyProtection="1">
      <alignment vertical="center"/>
      <protection hidden="1"/>
    </xf>
    <xf numFmtId="178" fontId="18" fillId="2" borderId="1" xfId="0" applyNumberFormat="1" applyFont="1" applyFill="1" applyBorder="1" applyAlignment="1" applyProtection="1">
      <alignment horizontal="center" vertical="center"/>
      <protection hidden="1"/>
    </xf>
    <xf numFmtId="39" fontId="31" fillId="0" borderId="0" xfId="0" applyNumberFormat="1" applyFont="1" applyAlignment="1" applyProtection="1">
      <alignment vertical="center"/>
      <protection hidden="1"/>
    </xf>
    <xf numFmtId="166" fontId="28" fillId="0" borderId="2" xfId="0" applyNumberFormat="1" applyFont="1" applyBorder="1" applyAlignment="1" applyProtection="1">
      <alignment horizontal="right" vertical="center"/>
      <protection hidden="1"/>
    </xf>
    <xf numFmtId="166" fontId="28" fillId="0" borderId="2" xfId="0" applyNumberFormat="1" applyFont="1" applyFill="1" applyBorder="1" applyAlignment="1" applyProtection="1">
      <alignment horizontal="right" vertical="center"/>
      <protection hidden="1"/>
    </xf>
    <xf numFmtId="165" fontId="25" fillId="0" borderId="0" xfId="0" applyFont="1" applyFill="1" applyAlignment="1" applyProtection="1">
      <alignment horizontal="center" vertical="center"/>
      <protection hidden="1"/>
    </xf>
    <xf numFmtId="10" fontId="20" fillId="5" borderId="36" xfId="0" applyNumberFormat="1" applyFont="1" applyFill="1" applyBorder="1" applyAlignment="1" applyProtection="1">
      <alignment horizontal="center" vertical="center"/>
      <protection locked="0" hidden="1"/>
    </xf>
    <xf numFmtId="10" fontId="20" fillId="5" borderId="37" xfId="0" applyNumberFormat="1" applyFont="1" applyFill="1" applyBorder="1" applyAlignment="1" applyProtection="1">
      <alignment horizontal="center" vertical="center"/>
      <protection locked="0" hidden="1"/>
    </xf>
    <xf numFmtId="10" fontId="18" fillId="0" borderId="0" xfId="0" applyNumberFormat="1" applyFont="1" applyAlignment="1" applyProtection="1">
      <alignment horizontal="right" vertical="center"/>
      <protection hidden="1"/>
    </xf>
    <xf numFmtId="1" fontId="23" fillId="0" borderId="10" xfId="0" applyNumberFormat="1" applyFont="1" applyBorder="1" applyAlignment="1" applyProtection="1">
      <alignment horizontal="center" vertical="center"/>
      <protection hidden="1"/>
    </xf>
    <xf numFmtId="1" fontId="25" fillId="0" borderId="0" xfId="0" applyNumberFormat="1" applyFont="1" applyFill="1" applyBorder="1" applyAlignment="1" applyProtection="1">
      <alignment horizontal="left" vertical="center"/>
      <protection hidden="1"/>
    </xf>
    <xf numFmtId="165" fontId="22" fillId="0" borderId="0" xfId="0" applyFont="1" applyAlignment="1" applyProtection="1">
      <alignment horizontal="right" vertical="center"/>
      <protection hidden="1"/>
    </xf>
    <xf numFmtId="39" fontId="26" fillId="0" borderId="0" xfId="0" applyNumberFormat="1" applyFont="1" applyAlignment="1" applyProtection="1">
      <alignment vertical="center"/>
      <protection hidden="1"/>
    </xf>
    <xf numFmtId="172" fontId="20" fillId="0" borderId="1" xfId="0" applyNumberFormat="1" applyFont="1" applyBorder="1" applyAlignment="1" applyProtection="1">
      <alignment horizontal="center" vertical="center"/>
      <protection hidden="1"/>
    </xf>
    <xf numFmtId="172" fontId="20" fillId="0" borderId="3" xfId="0" applyNumberFormat="1" applyFont="1" applyBorder="1" applyAlignment="1" applyProtection="1">
      <alignment horizontal="center" vertical="center"/>
      <protection hidden="1"/>
    </xf>
    <xf numFmtId="49" fontId="23" fillId="0" borderId="45" xfId="0" applyNumberFormat="1" applyFont="1" applyBorder="1" applyAlignment="1" applyProtection="1">
      <alignment horizontal="center" vertical="center"/>
      <protection hidden="1"/>
    </xf>
    <xf numFmtId="165" fontId="23" fillId="0" borderId="45" xfId="0" applyFont="1" applyBorder="1" applyAlignment="1" applyProtection="1">
      <alignment horizontal="center" vertical="center"/>
      <protection hidden="1"/>
    </xf>
    <xf numFmtId="10" fontId="18" fillId="0" borderId="0" xfId="0" applyNumberFormat="1" applyFont="1" applyFill="1" applyAlignment="1" applyProtection="1">
      <alignment vertical="center"/>
      <protection hidden="1"/>
    </xf>
    <xf numFmtId="49" fontId="21" fillId="0" borderId="0" xfId="0" applyNumberFormat="1" applyFont="1" applyAlignment="1" applyProtection="1">
      <alignment vertical="center"/>
      <protection hidden="1"/>
    </xf>
    <xf numFmtId="165" fontId="25" fillId="0" borderId="0" xfId="0" applyFont="1" applyFill="1" applyAlignment="1" applyProtection="1">
      <alignment vertical="center"/>
      <protection hidden="1"/>
    </xf>
    <xf numFmtId="165" fontId="23" fillId="0" borderId="0" xfId="0" applyFont="1" applyFill="1" applyAlignment="1" applyProtection="1">
      <alignment horizontal="left" vertical="center"/>
      <protection hidden="1"/>
    </xf>
    <xf numFmtId="1" fontId="22" fillId="5" borderId="34" xfId="0" applyNumberFormat="1" applyFont="1" applyFill="1" applyBorder="1" applyAlignment="1" applyProtection="1">
      <alignment horizontal="center" vertical="center"/>
      <protection locked="0" hidden="1"/>
    </xf>
    <xf numFmtId="10" fontId="20" fillId="5" borderId="34" xfId="0" applyNumberFormat="1" applyFont="1" applyFill="1" applyBorder="1" applyAlignment="1" applyProtection="1">
      <alignment horizontal="center" vertical="center"/>
      <protection locked="0" hidden="1"/>
    </xf>
    <xf numFmtId="165" fontId="26" fillId="0" borderId="0" xfId="0" quotePrefix="1" applyFont="1" applyFill="1" applyAlignment="1" applyProtection="1">
      <alignment horizontal="left" vertical="center"/>
      <protection hidden="1"/>
    </xf>
    <xf numFmtId="165" fontId="26" fillId="0" borderId="0" xfId="0" applyFont="1" applyFill="1" applyAlignment="1" applyProtection="1">
      <alignment horizontal="center" vertical="center"/>
      <protection hidden="1"/>
    </xf>
    <xf numFmtId="10" fontId="28" fillId="0" borderId="0" xfId="0" applyNumberFormat="1" applyFont="1" applyFill="1" applyAlignment="1" applyProtection="1">
      <alignment vertical="center"/>
      <protection hidden="1"/>
    </xf>
    <xf numFmtId="165" fontId="28" fillId="0" borderId="0" xfId="0" applyFont="1" applyFill="1" applyAlignment="1" applyProtection="1">
      <alignment horizontal="left" vertical="center"/>
      <protection hidden="1"/>
    </xf>
    <xf numFmtId="165" fontId="20" fillId="0" borderId="0" xfId="0" applyFont="1" applyFill="1" applyAlignment="1" applyProtection="1">
      <alignment horizontal="left" vertical="center"/>
      <protection hidden="1"/>
    </xf>
    <xf numFmtId="39" fontId="18" fillId="0" borderId="0" xfId="0" applyNumberFormat="1" applyFont="1" applyFill="1" applyAlignment="1" applyProtection="1">
      <alignment vertical="center"/>
      <protection hidden="1"/>
    </xf>
    <xf numFmtId="167" fontId="23" fillId="0" borderId="0" xfId="0" applyNumberFormat="1" applyFont="1" applyFill="1" applyAlignment="1" applyProtection="1">
      <alignment horizontal="left" vertical="center"/>
      <protection hidden="1"/>
    </xf>
    <xf numFmtId="165" fontId="23" fillId="0" borderId="0" xfId="0" applyFont="1" applyFill="1" applyAlignment="1" applyProtection="1">
      <alignment horizontal="center" vertical="center"/>
      <protection hidden="1"/>
    </xf>
    <xf numFmtId="10" fontId="18" fillId="0" borderId="0" xfId="0" applyNumberFormat="1" applyFont="1" applyAlignment="1" applyProtection="1">
      <alignment vertical="center"/>
      <protection hidden="1"/>
    </xf>
    <xf numFmtId="165" fontId="23" fillId="0" borderId="2" xfId="0" applyFont="1" applyBorder="1" applyAlignment="1" applyProtection="1">
      <alignment vertical="center"/>
      <protection hidden="1"/>
    </xf>
    <xf numFmtId="165" fontId="22" fillId="0" borderId="0" xfId="0" applyFont="1" applyFill="1" applyBorder="1" applyAlignment="1" applyProtection="1">
      <alignment horizontal="left" vertical="center"/>
      <protection hidden="1"/>
    </xf>
    <xf numFmtId="39" fontId="28" fillId="0" borderId="0" xfId="0" applyNumberFormat="1" applyFont="1" applyFill="1" applyAlignment="1" applyProtection="1">
      <alignment vertical="center"/>
      <protection hidden="1"/>
    </xf>
    <xf numFmtId="10" fontId="28" fillId="0" borderId="0" xfId="0" applyNumberFormat="1" applyFont="1" applyFill="1" applyAlignment="1" applyProtection="1">
      <alignment horizontal="center" vertical="center"/>
      <protection hidden="1"/>
    </xf>
    <xf numFmtId="165" fontId="20" fillId="0" borderId="0" xfId="0" applyFont="1" applyFill="1" applyBorder="1" applyAlignment="1" applyProtection="1">
      <alignment vertical="center"/>
      <protection hidden="1"/>
    </xf>
    <xf numFmtId="1" fontId="23" fillId="0" borderId="0" xfId="0" applyNumberFormat="1" applyFont="1" applyFill="1" applyBorder="1" applyAlignment="1" applyProtection="1">
      <alignment horizontal="center" vertical="center"/>
      <protection hidden="1"/>
    </xf>
    <xf numFmtId="39" fontId="22" fillId="0" borderId="0" xfId="0" applyNumberFormat="1" applyFont="1" applyAlignment="1" applyProtection="1">
      <alignment horizontal="left" vertical="center"/>
      <protection hidden="1"/>
    </xf>
    <xf numFmtId="39" fontId="29" fillId="0" borderId="0" xfId="0" applyNumberFormat="1" applyFont="1" applyAlignment="1" applyProtection="1">
      <alignment horizontal="left" vertical="center"/>
      <protection hidden="1"/>
    </xf>
    <xf numFmtId="49" fontId="20" fillId="0" borderId="0" xfId="0" applyNumberFormat="1" applyFont="1" applyFill="1" applyBorder="1" applyAlignment="1" applyProtection="1">
      <alignment horizontal="center" vertical="center"/>
      <protection hidden="1"/>
    </xf>
    <xf numFmtId="39" fontId="21" fillId="5" borderId="1" xfId="0" applyNumberFormat="1" applyFont="1" applyFill="1" applyBorder="1" applyAlignment="1" applyProtection="1">
      <alignment vertical="center"/>
      <protection locked="0" hidden="1"/>
    </xf>
    <xf numFmtId="39" fontId="28" fillId="0" borderId="0" xfId="0" applyNumberFormat="1" applyFont="1" applyBorder="1" applyAlignment="1" applyProtection="1">
      <alignment vertical="center"/>
      <protection hidden="1"/>
    </xf>
    <xf numFmtId="10" fontId="23" fillId="0" borderId="15" xfId="0" applyNumberFormat="1" applyFont="1" applyFill="1" applyBorder="1" applyAlignment="1" applyProtection="1">
      <alignment horizontal="left" vertical="center"/>
      <protection hidden="1"/>
    </xf>
    <xf numFmtId="165" fontId="18" fillId="0" borderId="31" xfId="0" applyFont="1" applyFill="1" applyBorder="1" applyAlignment="1" applyProtection="1">
      <alignment horizontal="center" vertical="center"/>
      <protection hidden="1"/>
    </xf>
    <xf numFmtId="165" fontId="23" fillId="0" borderId="0" xfId="0" applyFont="1" applyFill="1" applyAlignment="1" applyProtection="1">
      <alignment vertical="center"/>
      <protection hidden="1"/>
    </xf>
    <xf numFmtId="165" fontId="26" fillId="0" borderId="0" xfId="0" applyFont="1" applyFill="1" applyAlignment="1" applyProtection="1">
      <alignment horizontal="left" vertical="center"/>
      <protection hidden="1"/>
    </xf>
    <xf numFmtId="49" fontId="26" fillId="0" borderId="0" xfId="0" applyNumberFormat="1" applyFont="1" applyFill="1" applyAlignment="1" applyProtection="1">
      <alignment horizontal="center" vertical="center"/>
      <protection hidden="1"/>
    </xf>
    <xf numFmtId="166" fontId="28" fillId="0" borderId="10" xfId="0" applyNumberFormat="1" applyFont="1" applyFill="1" applyBorder="1" applyAlignment="1" applyProtection="1">
      <alignment horizontal="right" vertical="center"/>
      <protection hidden="1"/>
    </xf>
    <xf numFmtId="10" fontId="28" fillId="0" borderId="0" xfId="0" applyNumberFormat="1" applyFont="1" applyFill="1" applyBorder="1" applyAlignment="1" applyProtection="1">
      <alignment horizontal="center" vertical="center"/>
      <protection hidden="1"/>
    </xf>
    <xf numFmtId="39" fontId="21" fillId="0" borderId="0" xfId="0" applyNumberFormat="1" applyFont="1" applyBorder="1" applyAlignment="1" applyProtection="1">
      <alignment horizontal="right" vertical="center"/>
      <protection hidden="1"/>
    </xf>
    <xf numFmtId="1" fontId="22" fillId="5" borderId="36" xfId="0" applyNumberFormat="1" applyFont="1" applyFill="1" applyBorder="1" applyAlignment="1" applyProtection="1">
      <alignment horizontal="center" vertical="center"/>
      <protection locked="0" hidden="1"/>
    </xf>
    <xf numFmtId="49" fontId="26" fillId="0" borderId="37" xfId="0" applyNumberFormat="1" applyFont="1" applyFill="1" applyBorder="1" applyAlignment="1" applyProtection="1">
      <alignment horizontal="center" vertical="center"/>
      <protection hidden="1"/>
    </xf>
    <xf numFmtId="165" fontId="18" fillId="0" borderId="0" xfId="0" applyFont="1" applyFill="1" applyAlignment="1" applyProtection="1">
      <alignment horizontal="left" vertical="center"/>
      <protection hidden="1"/>
    </xf>
    <xf numFmtId="10" fontId="18" fillId="0" borderId="0" xfId="0" applyNumberFormat="1" applyFont="1" applyFill="1" applyAlignment="1" applyProtection="1">
      <alignment horizontal="right" vertical="center"/>
      <protection hidden="1"/>
    </xf>
    <xf numFmtId="39" fontId="26" fillId="0" borderId="0" xfId="0" applyNumberFormat="1" applyFont="1" applyFill="1" applyAlignment="1" applyProtection="1">
      <alignment vertical="center"/>
      <protection hidden="1"/>
    </xf>
    <xf numFmtId="166" fontId="28" fillId="2" borderId="7" xfId="0" applyNumberFormat="1" applyFont="1" applyFill="1" applyBorder="1" applyAlignment="1" applyProtection="1">
      <alignment horizontal="right" vertical="center"/>
      <protection hidden="1"/>
    </xf>
    <xf numFmtId="49" fontId="23" fillId="0" borderId="0" xfId="0" applyNumberFormat="1" applyFont="1" applyFill="1" applyBorder="1" applyAlignment="1" applyProtection="1">
      <alignment horizontal="center" vertical="center"/>
      <protection hidden="1"/>
    </xf>
    <xf numFmtId="39" fontId="18" fillId="0" borderId="0" xfId="0" applyNumberFormat="1" applyFont="1" applyFill="1" applyBorder="1" applyAlignment="1" applyProtection="1">
      <alignment horizontal="right" vertical="center"/>
      <protection hidden="1"/>
    </xf>
    <xf numFmtId="39" fontId="18" fillId="0" borderId="0" xfId="0" applyNumberFormat="1" applyFont="1" applyFill="1" applyAlignment="1" applyProtection="1">
      <alignment horizontal="right" vertical="center"/>
      <protection hidden="1"/>
    </xf>
    <xf numFmtId="39" fontId="20" fillId="0" borderId="0" xfId="0" applyNumberFormat="1" applyFont="1" applyAlignment="1" applyProtection="1">
      <alignment horizontal="right" vertical="center"/>
      <protection hidden="1"/>
    </xf>
    <xf numFmtId="10" fontId="26" fillId="0" borderId="0" xfId="0" applyNumberFormat="1" applyFont="1" applyAlignment="1" applyProtection="1">
      <alignment vertical="center"/>
      <protection hidden="1"/>
    </xf>
    <xf numFmtId="39" fontId="26" fillId="0" borderId="0" xfId="0" applyNumberFormat="1" applyFont="1" applyBorder="1" applyAlignment="1" applyProtection="1">
      <alignment vertical="center"/>
      <protection hidden="1"/>
    </xf>
    <xf numFmtId="165" fontId="23" fillId="0" borderId="31" xfId="0" applyFont="1" applyFill="1" applyBorder="1" applyAlignment="1" applyProtection="1">
      <alignment horizontal="center" vertical="center"/>
      <protection hidden="1"/>
    </xf>
    <xf numFmtId="1" fontId="26" fillId="0" borderId="0" xfId="0" applyNumberFormat="1" applyFont="1" applyFill="1" applyAlignment="1" applyProtection="1">
      <alignment horizontal="left" vertical="center"/>
      <protection hidden="1"/>
    </xf>
    <xf numFmtId="179" fontId="28" fillId="0" borderId="0" xfId="0" applyNumberFormat="1" applyFont="1" applyFill="1" applyAlignment="1" applyProtection="1">
      <alignment vertical="center"/>
      <protection hidden="1"/>
    </xf>
    <xf numFmtId="166" fontId="18" fillId="0" borderId="0" xfId="0" applyNumberFormat="1" applyFont="1" applyAlignment="1" applyProtection="1">
      <alignment vertical="center"/>
      <protection hidden="1"/>
    </xf>
    <xf numFmtId="49" fontId="22" fillId="5" borderId="1" xfId="0" applyNumberFormat="1" applyFont="1" applyFill="1" applyBorder="1" applyAlignment="1" applyProtection="1">
      <alignment horizontal="center" vertical="center"/>
      <protection locked="0" hidden="1"/>
    </xf>
    <xf numFmtId="166" fontId="28" fillId="0" borderId="0" xfId="0" applyNumberFormat="1" applyFont="1" applyAlignment="1" applyProtection="1">
      <alignment horizontal="right" vertical="center"/>
      <protection hidden="1"/>
    </xf>
    <xf numFmtId="166" fontId="28" fillId="0" borderId="0" xfId="0" applyNumberFormat="1" applyFont="1" applyFill="1" applyAlignment="1" applyProtection="1">
      <alignment horizontal="right" vertical="center"/>
      <protection hidden="1"/>
    </xf>
    <xf numFmtId="1" fontId="22" fillId="0" borderId="0" xfId="0" applyNumberFormat="1" applyFont="1" applyFill="1" applyBorder="1" applyAlignment="1" applyProtection="1">
      <alignment horizontal="left" vertical="center"/>
      <protection hidden="1"/>
    </xf>
    <xf numFmtId="1" fontId="26" fillId="0" borderId="0" xfId="0" applyNumberFormat="1" applyFont="1" applyFill="1" applyBorder="1" applyAlignment="1" applyProtection="1">
      <alignment horizontal="center" vertical="center"/>
      <protection hidden="1"/>
    </xf>
    <xf numFmtId="39" fontId="28" fillId="0" borderId="0" xfId="0" applyNumberFormat="1" applyFont="1" applyFill="1" applyBorder="1" applyAlignment="1" applyProtection="1">
      <alignment horizontal="right" vertical="center"/>
      <protection hidden="1"/>
    </xf>
    <xf numFmtId="49" fontId="23" fillId="0" borderId="0" xfId="0" applyNumberFormat="1" applyFont="1" applyAlignment="1" applyProtection="1">
      <alignment horizontal="left" vertical="center"/>
      <protection hidden="1"/>
    </xf>
    <xf numFmtId="49" fontId="21" fillId="0" borderId="0" xfId="0" applyNumberFormat="1" applyFont="1" applyBorder="1" applyAlignment="1" applyProtection="1">
      <alignment vertical="center"/>
      <protection hidden="1"/>
    </xf>
    <xf numFmtId="165" fontId="26" fillId="0" borderId="37" xfId="0" applyFont="1" applyFill="1" applyBorder="1" applyAlignment="1" applyProtection="1">
      <alignment horizontal="center" vertical="center"/>
      <protection hidden="1"/>
    </xf>
    <xf numFmtId="166" fontId="18" fillId="0" borderId="0" xfId="0" applyNumberFormat="1" applyFont="1" applyFill="1" applyBorder="1" applyAlignment="1" applyProtection="1">
      <alignment vertical="center"/>
      <protection hidden="1"/>
    </xf>
    <xf numFmtId="39" fontId="24" fillId="0" borderId="0" xfId="0" applyNumberFormat="1" applyFont="1" applyFill="1" applyBorder="1" applyAlignment="1" applyProtection="1">
      <alignment horizontal="right" vertical="center"/>
      <protection hidden="1"/>
    </xf>
    <xf numFmtId="49" fontId="18" fillId="2" borderId="8" xfId="0" applyNumberFormat="1" applyFont="1" applyFill="1" applyBorder="1" applyAlignment="1" applyProtection="1">
      <alignment vertical="center"/>
      <protection hidden="1"/>
    </xf>
    <xf numFmtId="39" fontId="30" fillId="0" borderId="0" xfId="0" applyNumberFormat="1" applyFont="1" applyAlignment="1" applyProtection="1">
      <alignment horizontal="right" vertical="center"/>
      <protection hidden="1"/>
    </xf>
    <xf numFmtId="39" fontId="18" fillId="0" borderId="0" xfId="0" applyNumberFormat="1" applyFont="1" applyFill="1" applyBorder="1" applyAlignment="1" applyProtection="1">
      <alignment vertical="center"/>
      <protection hidden="1"/>
    </xf>
    <xf numFmtId="165" fontId="22" fillId="5" borderId="38" xfId="0" applyFont="1" applyFill="1" applyBorder="1" applyAlignment="1" applyProtection="1">
      <alignment horizontal="center" vertical="center"/>
      <protection locked="0" hidden="1"/>
    </xf>
    <xf numFmtId="165" fontId="23" fillId="0" borderId="39" xfId="0" applyFont="1" applyFill="1" applyBorder="1" applyAlignment="1" applyProtection="1">
      <alignment horizontal="center" vertical="center"/>
      <protection hidden="1"/>
    </xf>
    <xf numFmtId="165" fontId="22" fillId="0" borderId="0" xfId="0" applyFont="1" applyFill="1" applyBorder="1" applyAlignment="1" applyProtection="1">
      <alignment vertical="center"/>
      <protection hidden="1"/>
    </xf>
    <xf numFmtId="49" fontId="22" fillId="0" borderId="0" xfId="0" applyNumberFormat="1" applyFont="1" applyBorder="1" applyAlignment="1" applyProtection="1">
      <alignment horizontal="center" vertical="center"/>
      <protection hidden="1"/>
    </xf>
    <xf numFmtId="166" fontId="22" fillId="0" borderId="0" xfId="0" applyNumberFormat="1" applyFont="1" applyBorder="1" applyAlignment="1" applyProtection="1">
      <alignment horizontal="center" vertical="center"/>
      <protection hidden="1"/>
    </xf>
    <xf numFmtId="1" fontId="30" fillId="0" borderId="0" xfId="0" applyNumberFormat="1" applyFont="1" applyBorder="1" applyAlignment="1" applyProtection="1">
      <alignment horizontal="center" vertical="center"/>
      <protection hidden="1"/>
    </xf>
    <xf numFmtId="166" fontId="22" fillId="0" borderId="0" xfId="0" applyNumberFormat="1" applyFont="1" applyFill="1" applyBorder="1" applyAlignment="1" applyProtection="1">
      <alignment horizontal="center" vertical="center"/>
      <protection hidden="1"/>
    </xf>
    <xf numFmtId="39" fontId="31" fillId="0" borderId="0" xfId="0" applyNumberFormat="1" applyFont="1" applyAlignment="1" applyProtection="1">
      <alignment horizontal="right" vertical="center"/>
      <protection hidden="1"/>
    </xf>
    <xf numFmtId="49" fontId="23" fillId="0" borderId="0" xfId="0" applyNumberFormat="1" applyFont="1" applyFill="1" applyAlignment="1" applyProtection="1">
      <alignment horizontal="center" vertical="center"/>
      <protection hidden="1"/>
    </xf>
    <xf numFmtId="49" fontId="23" fillId="0" borderId="0" xfId="0" applyNumberFormat="1" applyFont="1" applyFill="1" applyBorder="1" applyAlignment="1" applyProtection="1">
      <alignment horizontal="left" vertical="center"/>
      <protection hidden="1"/>
    </xf>
    <xf numFmtId="177" fontId="23" fillId="0" borderId="0" xfId="0" applyNumberFormat="1" applyFont="1" applyFill="1" applyBorder="1" applyAlignment="1" applyProtection="1">
      <alignment vertical="center"/>
      <protection hidden="1"/>
    </xf>
    <xf numFmtId="49" fontId="23" fillId="0" borderId="0" xfId="0" applyNumberFormat="1" applyFont="1" applyFill="1" applyBorder="1" applyAlignment="1" applyProtection="1">
      <alignment vertical="center"/>
      <protection hidden="1"/>
    </xf>
    <xf numFmtId="39" fontId="20" fillId="0" borderId="0" xfId="0" applyNumberFormat="1" applyFont="1" applyAlignment="1" applyProtection="1">
      <alignment horizontal="center" vertical="center"/>
      <protection hidden="1"/>
    </xf>
    <xf numFmtId="165" fontId="25" fillId="0" borderId="0" xfId="0" applyFont="1" applyAlignment="1" applyProtection="1">
      <alignment horizontal="center" vertical="center"/>
      <protection hidden="1"/>
    </xf>
    <xf numFmtId="1" fontId="20" fillId="0" borderId="0" xfId="0" applyNumberFormat="1" applyFont="1" applyAlignment="1" applyProtection="1">
      <alignment horizontal="center" vertical="center"/>
      <protection hidden="1"/>
    </xf>
    <xf numFmtId="165" fontId="23" fillId="0" borderId="16" xfId="0" applyFont="1" applyFill="1" applyBorder="1" applyAlignment="1" applyProtection="1">
      <alignment horizontal="center" vertical="center"/>
      <protection hidden="1"/>
    </xf>
    <xf numFmtId="165" fontId="22" fillId="0" borderId="0" xfId="0" applyFont="1" applyFill="1" applyAlignment="1" applyProtection="1">
      <alignment horizontal="left" vertical="center"/>
      <protection hidden="1"/>
    </xf>
    <xf numFmtId="165" fontId="23" fillId="0" borderId="15" xfId="0" applyFont="1" applyFill="1" applyBorder="1" applyAlignment="1" applyProtection="1">
      <alignment vertical="center"/>
      <protection hidden="1"/>
    </xf>
    <xf numFmtId="165" fontId="23" fillId="0" borderId="27" xfId="0" applyFont="1" applyBorder="1" applyAlignment="1" applyProtection="1">
      <alignment horizontal="center" vertical="center"/>
      <protection hidden="1"/>
    </xf>
    <xf numFmtId="166" fontId="18" fillId="0" borderId="16" xfId="0" applyNumberFormat="1" applyFont="1" applyBorder="1" applyAlignment="1" applyProtection="1">
      <alignment horizontal="right" vertical="center"/>
      <protection hidden="1"/>
    </xf>
    <xf numFmtId="49" fontId="30" fillId="0" borderId="0" xfId="0" applyNumberFormat="1" applyFont="1" applyBorder="1" applyAlignment="1" applyProtection="1">
      <alignment vertical="center"/>
      <protection hidden="1"/>
    </xf>
    <xf numFmtId="165" fontId="26" fillId="0" borderId="17" xfId="0" applyFont="1" applyFill="1" applyBorder="1" applyAlignment="1" applyProtection="1">
      <alignment vertical="center"/>
      <protection hidden="1"/>
    </xf>
    <xf numFmtId="165" fontId="26" fillId="0" borderId="25" xfId="0" applyFont="1" applyBorder="1" applyAlignment="1" applyProtection="1">
      <alignment horizontal="center" vertical="center"/>
      <protection hidden="1"/>
    </xf>
    <xf numFmtId="166" fontId="28" fillId="0" borderId="18" xfId="0" applyNumberFormat="1" applyFont="1" applyBorder="1" applyAlignment="1" applyProtection="1">
      <alignment horizontal="right" vertical="center"/>
      <protection hidden="1"/>
    </xf>
    <xf numFmtId="166" fontId="28" fillId="0" borderId="0" xfId="0" applyNumberFormat="1" applyFont="1" applyFill="1" applyBorder="1" applyAlignment="1" applyProtection="1">
      <alignment horizontal="right" vertical="center"/>
      <protection hidden="1"/>
    </xf>
    <xf numFmtId="1" fontId="26" fillId="0" borderId="0" xfId="0" applyNumberFormat="1" applyFont="1" applyFill="1" applyBorder="1" applyAlignment="1" applyProtection="1">
      <alignment vertical="center"/>
      <protection hidden="1"/>
    </xf>
    <xf numFmtId="2" fontId="21" fillId="0" borderId="0" xfId="0" applyNumberFormat="1" applyFont="1" applyFill="1" applyBorder="1" applyAlignment="1" applyProtection="1">
      <alignment vertical="center"/>
      <protection hidden="1"/>
    </xf>
    <xf numFmtId="1" fontId="23" fillId="0" borderId="0" xfId="0" applyNumberFormat="1" applyFont="1" applyFill="1" applyBorder="1" applyAlignment="1" applyProtection="1">
      <alignment vertical="center"/>
      <protection hidden="1"/>
    </xf>
    <xf numFmtId="178" fontId="20" fillId="0" borderId="0" xfId="0" applyNumberFormat="1" applyFont="1" applyAlignment="1" applyProtection="1">
      <alignment horizontal="center" vertical="center"/>
      <protection hidden="1"/>
    </xf>
    <xf numFmtId="171" fontId="21" fillId="5" borderId="1" xfId="0" applyNumberFormat="1" applyFont="1" applyFill="1" applyBorder="1" applyAlignment="1" applyProtection="1">
      <alignment horizontal="center" vertical="center"/>
      <protection locked="0"/>
    </xf>
    <xf numFmtId="172" fontId="21" fillId="5" borderId="1" xfId="0" applyNumberFormat="1" applyFont="1" applyFill="1" applyBorder="1" applyAlignment="1" applyProtection="1">
      <alignment horizontal="center" vertical="center"/>
      <protection locked="0"/>
    </xf>
    <xf numFmtId="172" fontId="21" fillId="5" borderId="3" xfId="0" applyNumberFormat="1" applyFont="1" applyFill="1" applyBorder="1" applyAlignment="1" applyProtection="1">
      <alignment horizontal="center" vertical="center"/>
      <protection locked="0"/>
    </xf>
    <xf numFmtId="49" fontId="26" fillId="0" borderId="32" xfId="0" applyNumberFormat="1" applyFont="1" applyFill="1" applyBorder="1" applyAlignment="1" applyProtection="1">
      <alignment horizontal="center" vertical="center"/>
      <protection hidden="1"/>
    </xf>
    <xf numFmtId="165" fontId="26" fillId="0" borderId="33" xfId="0" applyFont="1" applyFill="1" applyBorder="1" applyAlignment="1" applyProtection="1">
      <alignment horizontal="center" vertical="center"/>
      <protection hidden="1"/>
    </xf>
    <xf numFmtId="165" fontId="23" fillId="0" borderId="19" xfId="0" applyFont="1" applyBorder="1" applyAlignment="1" applyProtection="1">
      <alignment horizontal="left" vertical="center"/>
      <protection hidden="1"/>
    </xf>
    <xf numFmtId="166" fontId="18" fillId="0" borderId="20" xfId="0" applyNumberFormat="1" applyFont="1" applyBorder="1" applyAlignment="1" applyProtection="1">
      <alignment horizontal="right" vertical="center"/>
      <protection hidden="1"/>
    </xf>
    <xf numFmtId="1" fontId="23" fillId="0" borderId="0" xfId="0" quotePrefix="1" applyNumberFormat="1" applyFont="1" applyBorder="1" applyAlignment="1" applyProtection="1">
      <alignment horizontal="center" vertical="center"/>
      <protection hidden="1"/>
    </xf>
    <xf numFmtId="165" fontId="26" fillId="0" borderId="21" xfId="0" applyFont="1" applyBorder="1" applyAlignment="1" applyProtection="1">
      <alignment horizontal="left" vertical="center"/>
      <protection hidden="1"/>
    </xf>
    <xf numFmtId="165" fontId="26" fillId="0" borderId="0" xfId="0" applyFont="1" applyBorder="1" applyAlignment="1" applyProtection="1">
      <alignment horizontal="center" vertical="center"/>
      <protection hidden="1"/>
    </xf>
    <xf numFmtId="166" fontId="28" fillId="0" borderId="22" xfId="0" applyNumberFormat="1" applyFont="1" applyBorder="1" applyAlignment="1" applyProtection="1">
      <alignment horizontal="right" vertical="center"/>
      <protection hidden="1"/>
    </xf>
    <xf numFmtId="49" fontId="18" fillId="2" borderId="5" xfId="0" applyNumberFormat="1" applyFont="1" applyFill="1" applyBorder="1" applyAlignment="1" applyProtection="1">
      <alignment vertical="center"/>
      <protection hidden="1"/>
    </xf>
    <xf numFmtId="166" fontId="31" fillId="0" borderId="0" xfId="0" applyNumberFormat="1" applyFont="1" applyAlignment="1" applyProtection="1">
      <alignment horizontal="right" vertical="center"/>
      <protection hidden="1"/>
    </xf>
    <xf numFmtId="165" fontId="18" fillId="0" borderId="0" xfId="0" quotePrefix="1" applyNumberFormat="1" applyFont="1" applyAlignment="1" applyProtection="1">
      <alignment horizontal="left" vertical="center"/>
      <protection hidden="1"/>
    </xf>
    <xf numFmtId="170" fontId="28" fillId="0" borderId="0" xfId="0" applyNumberFormat="1" applyFont="1" applyAlignment="1" applyProtection="1">
      <alignment horizontal="center" vertical="center"/>
      <protection hidden="1"/>
    </xf>
    <xf numFmtId="169" fontId="28" fillId="0" borderId="0" xfId="0" applyNumberFormat="1" applyFont="1" applyAlignment="1" applyProtection="1">
      <alignment vertical="center"/>
      <protection hidden="1"/>
    </xf>
    <xf numFmtId="173" fontId="21" fillId="5" borderId="1" xfId="0" applyNumberFormat="1" applyFont="1" applyFill="1" applyBorder="1" applyAlignment="1" applyProtection="1">
      <alignment horizontal="center" vertical="center"/>
      <protection locked="0"/>
    </xf>
    <xf numFmtId="39" fontId="21" fillId="5" borderId="3" xfId="0" applyNumberFormat="1" applyFont="1" applyFill="1" applyBorder="1" applyAlignment="1" applyProtection="1">
      <alignment horizontal="center" vertical="center"/>
      <protection locked="0"/>
    </xf>
    <xf numFmtId="1" fontId="25" fillId="3" borderId="32" xfId="0" applyNumberFormat="1" applyFont="1" applyFill="1" applyBorder="1" applyAlignment="1" applyProtection="1">
      <alignment horizontal="center" vertical="center"/>
      <protection hidden="1"/>
    </xf>
    <xf numFmtId="1" fontId="25" fillId="3" borderId="33" xfId="0" applyNumberFormat="1" applyFont="1" applyFill="1" applyBorder="1" applyAlignment="1" applyProtection="1">
      <alignment horizontal="center" vertical="center"/>
      <protection hidden="1"/>
    </xf>
    <xf numFmtId="1" fontId="23" fillId="0" borderId="23" xfId="0" applyNumberFormat="1" applyFont="1" applyBorder="1" applyAlignment="1" applyProtection="1">
      <alignment vertical="center"/>
      <protection hidden="1"/>
    </xf>
    <xf numFmtId="165" fontId="23" fillId="0" borderId="28" xfId="0" applyFont="1" applyBorder="1" applyAlignment="1" applyProtection="1">
      <alignment horizontal="center" vertical="center"/>
      <protection hidden="1"/>
    </xf>
    <xf numFmtId="166" fontId="23" fillId="0" borderId="29" xfId="0" applyNumberFormat="1" applyFont="1" applyBorder="1" applyAlignment="1" applyProtection="1">
      <alignment vertical="center"/>
      <protection hidden="1"/>
    </xf>
    <xf numFmtId="166" fontId="22" fillId="0" borderId="0" xfId="0" applyNumberFormat="1" applyFont="1" applyAlignment="1" applyProtection="1">
      <alignment vertical="center"/>
      <protection hidden="1"/>
    </xf>
    <xf numFmtId="1" fontId="26" fillId="0" borderId="24" xfId="0" applyNumberFormat="1" applyFont="1" applyBorder="1" applyAlignment="1" applyProtection="1">
      <alignment vertical="center"/>
      <protection hidden="1"/>
    </xf>
    <xf numFmtId="165" fontId="26" fillId="0" borderId="26" xfId="0" applyFont="1" applyBorder="1" applyAlignment="1" applyProtection="1">
      <alignment horizontal="center" vertical="center"/>
      <protection hidden="1"/>
    </xf>
    <xf numFmtId="166" fontId="26" fillId="0" borderId="30" xfId="0" applyNumberFormat="1" applyFont="1" applyBorder="1" applyAlignment="1" applyProtection="1">
      <alignment vertical="center"/>
      <protection hidden="1"/>
    </xf>
    <xf numFmtId="166" fontId="18" fillId="0" borderId="0" xfId="0" applyNumberFormat="1" applyFont="1" applyAlignment="1" applyProtection="1">
      <alignment horizontal="right" vertical="center"/>
      <protection hidden="1"/>
    </xf>
    <xf numFmtId="49" fontId="21" fillId="5" borderId="12" xfId="0" applyNumberFormat="1" applyFont="1" applyFill="1" applyBorder="1" applyAlignment="1" applyProtection="1">
      <alignment vertical="center"/>
      <protection locked="0" hidden="1"/>
    </xf>
    <xf numFmtId="49" fontId="21" fillId="5" borderId="9" xfId="0" applyNumberFormat="1" applyFont="1" applyFill="1" applyBorder="1" applyAlignment="1" applyProtection="1">
      <alignment vertical="center"/>
      <protection hidden="1"/>
    </xf>
    <xf numFmtId="49" fontId="21" fillId="5" borderId="4" xfId="0" applyNumberFormat="1" applyFont="1" applyFill="1" applyBorder="1" applyAlignment="1" applyProtection="1">
      <alignment vertical="center"/>
      <protection hidden="1"/>
    </xf>
    <xf numFmtId="39" fontId="21" fillId="5" borderId="1" xfId="0" applyNumberFormat="1" applyFont="1" applyFill="1" applyBorder="1" applyAlignment="1" applyProtection="1">
      <alignment horizontal="center" vertical="center"/>
      <protection locked="0"/>
    </xf>
    <xf numFmtId="39" fontId="29" fillId="5" borderId="3" xfId="0" applyNumberFormat="1" applyFont="1" applyFill="1" applyBorder="1" applyAlignment="1" applyProtection="1">
      <alignment horizontal="center" vertical="center"/>
      <protection locked="0"/>
    </xf>
    <xf numFmtId="1" fontId="20" fillId="5" borderId="36" xfId="0" applyNumberFormat="1" applyFont="1" applyFill="1" applyBorder="1" applyAlignment="1" applyProtection="1">
      <alignment horizontal="center" vertical="center"/>
      <protection locked="0" hidden="1"/>
    </xf>
    <xf numFmtId="49" fontId="22" fillId="5" borderId="37" xfId="0" applyNumberFormat="1" applyFont="1" applyFill="1" applyBorder="1" applyAlignment="1" applyProtection="1">
      <alignment horizontal="center" vertical="center"/>
      <protection locked="0" hidden="1"/>
    </xf>
    <xf numFmtId="178" fontId="25" fillId="0" borderId="0" xfId="0" applyNumberFormat="1" applyFont="1" applyAlignment="1" applyProtection="1">
      <alignment horizontal="center" vertical="center"/>
      <protection hidden="1"/>
    </xf>
    <xf numFmtId="165" fontId="23" fillId="0" borderId="15" xfId="0" applyFont="1" applyBorder="1" applyAlignment="1" applyProtection="1">
      <alignment horizontal="left" vertical="center"/>
      <protection hidden="1"/>
    </xf>
    <xf numFmtId="1" fontId="23" fillId="0" borderId="25" xfId="0" applyNumberFormat="1" applyFont="1" applyBorder="1" applyAlignment="1" applyProtection="1">
      <alignment horizontal="center" vertical="center"/>
      <protection hidden="1"/>
    </xf>
    <xf numFmtId="165" fontId="26" fillId="0" borderId="17" xfId="0" applyFont="1" applyBorder="1" applyAlignment="1" applyProtection="1">
      <alignment horizontal="left" vertical="center"/>
      <protection hidden="1"/>
    </xf>
    <xf numFmtId="1" fontId="26" fillId="0" borderId="25" xfId="0" applyNumberFormat="1" applyFont="1" applyBorder="1" applyAlignment="1" applyProtection="1">
      <alignment horizontal="center" vertical="center"/>
      <protection hidden="1"/>
    </xf>
    <xf numFmtId="166" fontId="23" fillId="0" borderId="0" xfId="0" applyNumberFormat="1" applyFont="1" applyAlignment="1" applyProtection="1">
      <alignment vertical="center"/>
      <protection hidden="1"/>
    </xf>
    <xf numFmtId="166" fontId="26" fillId="0" borderId="0" xfId="0" applyNumberFormat="1" applyFont="1" applyAlignment="1" applyProtection="1">
      <alignment horizontal="right" vertical="center"/>
      <protection hidden="1"/>
    </xf>
    <xf numFmtId="49" fontId="21" fillId="5" borderId="13" xfId="0" applyNumberFormat="1" applyFont="1" applyFill="1" applyBorder="1" applyAlignment="1" applyProtection="1">
      <alignment vertical="center"/>
      <protection locked="0" hidden="1"/>
    </xf>
    <xf numFmtId="49" fontId="21" fillId="5" borderId="0" xfId="0" applyNumberFormat="1" applyFont="1" applyFill="1" applyBorder="1" applyAlignment="1" applyProtection="1">
      <alignment vertical="center"/>
      <protection hidden="1"/>
    </xf>
    <xf numFmtId="49" fontId="21" fillId="5" borderId="6" xfId="0" applyNumberFormat="1" applyFont="1" applyFill="1" applyBorder="1" applyAlignment="1" applyProtection="1">
      <alignment vertical="center"/>
      <protection hidden="1"/>
    </xf>
    <xf numFmtId="39" fontId="29" fillId="5" borderId="1" xfId="0" applyNumberFormat="1" applyFont="1" applyFill="1" applyBorder="1" applyAlignment="1" applyProtection="1">
      <alignment horizontal="center" vertical="center"/>
      <protection locked="0"/>
    </xf>
    <xf numFmtId="177" fontId="22" fillId="5" borderId="1" xfId="0" applyNumberFormat="1" applyFont="1" applyFill="1" applyBorder="1" applyAlignment="1" applyProtection="1">
      <alignment horizontal="center" vertical="center"/>
      <protection locked="0" hidden="1"/>
    </xf>
    <xf numFmtId="174" fontId="26" fillId="4" borderId="3" xfId="0" applyNumberFormat="1" applyFont="1" applyFill="1" applyBorder="1" applyAlignment="1" applyProtection="1">
      <alignment horizontal="center" vertical="center"/>
      <protection hidden="1"/>
    </xf>
    <xf numFmtId="49" fontId="22" fillId="5" borderId="38" xfId="0" applyNumberFormat="1" applyFont="1" applyFill="1" applyBorder="1" applyAlignment="1" applyProtection="1">
      <alignment horizontal="center" vertical="center"/>
      <protection locked="0" hidden="1"/>
    </xf>
    <xf numFmtId="49" fontId="22" fillId="0" borderId="39" xfId="0" applyNumberFormat="1" applyFont="1" applyBorder="1" applyAlignment="1" applyProtection="1">
      <alignment horizontal="center" vertical="center"/>
      <protection hidden="1"/>
    </xf>
    <xf numFmtId="166" fontId="26" fillId="0" borderId="0" xfId="0" applyNumberFormat="1" applyFont="1" applyAlignment="1" applyProtection="1">
      <alignment vertical="center"/>
      <protection hidden="1"/>
    </xf>
    <xf numFmtId="1" fontId="23" fillId="0" borderId="0" xfId="0" applyNumberFormat="1" applyFont="1" applyBorder="1" applyAlignment="1" applyProtection="1">
      <alignment horizontal="center" vertical="center"/>
      <protection hidden="1"/>
    </xf>
    <xf numFmtId="1" fontId="26" fillId="0" borderId="0" xfId="0" applyNumberFormat="1" applyFont="1" applyAlignment="1" applyProtection="1">
      <alignment horizontal="left" vertical="center"/>
      <protection hidden="1"/>
    </xf>
    <xf numFmtId="166" fontId="26" fillId="0" borderId="0" xfId="0" applyNumberFormat="1" applyFont="1" applyBorder="1" applyAlignment="1" applyProtection="1">
      <alignment horizontal="right" vertical="center"/>
      <protection hidden="1"/>
    </xf>
    <xf numFmtId="39" fontId="18" fillId="0" borderId="2" xfId="0" applyNumberFormat="1" applyFont="1" applyBorder="1" applyAlignment="1" applyProtection="1">
      <alignment vertical="center"/>
      <protection hidden="1"/>
    </xf>
    <xf numFmtId="39" fontId="28" fillId="0" borderId="2" xfId="0" applyNumberFormat="1" applyFont="1" applyBorder="1" applyAlignment="1" applyProtection="1">
      <alignment vertical="center"/>
      <protection hidden="1"/>
    </xf>
    <xf numFmtId="49" fontId="28" fillId="0" borderId="7" xfId="0" applyNumberFormat="1" applyFont="1" applyBorder="1" applyAlignment="1" applyProtection="1">
      <alignment horizontal="center" vertical="center"/>
      <protection hidden="1"/>
    </xf>
    <xf numFmtId="174" fontId="26" fillId="3" borderId="1" xfId="0" applyNumberFormat="1" applyFont="1" applyFill="1" applyBorder="1" applyAlignment="1" applyProtection="1">
      <alignment horizontal="center" vertical="center"/>
      <protection hidden="1"/>
    </xf>
    <xf numFmtId="177" fontId="26" fillId="3" borderId="5" xfId="0" applyNumberFormat="1" applyFont="1" applyFill="1" applyBorder="1" applyAlignment="1" applyProtection="1">
      <alignment horizontal="center" vertical="center"/>
      <protection hidden="1"/>
    </xf>
    <xf numFmtId="172" fontId="26" fillId="0" borderId="0" xfId="0" quotePrefix="1" applyNumberFormat="1" applyFont="1" applyAlignment="1" applyProtection="1">
      <alignment horizontal="center" vertical="center"/>
      <protection hidden="1"/>
    </xf>
    <xf numFmtId="4" fontId="26" fillId="3" borderId="3" xfId="0" applyNumberFormat="1" applyFont="1" applyFill="1" applyBorder="1" applyAlignment="1" applyProtection="1">
      <alignment horizontal="center" vertical="center"/>
      <protection hidden="1"/>
    </xf>
    <xf numFmtId="1" fontId="23" fillId="0" borderId="40" xfId="0" applyNumberFormat="1" applyFont="1" applyBorder="1" applyAlignment="1" applyProtection="1">
      <alignment vertical="center"/>
      <protection hidden="1"/>
    </xf>
    <xf numFmtId="10" fontId="24" fillId="0" borderId="31" xfId="0" applyNumberFormat="1" applyFont="1" applyBorder="1" applyAlignment="1" applyProtection="1">
      <alignment horizontal="center" vertical="center"/>
      <protection hidden="1"/>
    </xf>
    <xf numFmtId="2" fontId="26" fillId="0" borderId="0" xfId="0" applyNumberFormat="1" applyFont="1" applyAlignment="1" applyProtection="1">
      <alignment horizontal="center" vertical="center"/>
      <protection hidden="1"/>
    </xf>
    <xf numFmtId="39" fontId="32" fillId="0" borderId="0" xfId="0" applyNumberFormat="1" applyFont="1" applyAlignment="1" applyProtection="1">
      <alignment vertical="center"/>
      <protection hidden="1"/>
    </xf>
    <xf numFmtId="1" fontId="23" fillId="0" borderId="26" xfId="0" applyNumberFormat="1" applyFont="1" applyBorder="1" applyAlignment="1" applyProtection="1">
      <alignment horizontal="center" vertical="center"/>
      <protection hidden="1"/>
    </xf>
    <xf numFmtId="49" fontId="22" fillId="0" borderId="0" xfId="0" applyNumberFormat="1" applyFont="1" applyAlignment="1" applyProtection="1">
      <alignment vertical="center"/>
      <protection hidden="1"/>
    </xf>
    <xf numFmtId="1" fontId="26" fillId="0" borderId="26" xfId="0" applyNumberFormat="1" applyFont="1" applyBorder="1" applyAlignment="1" applyProtection="1">
      <alignment horizontal="center" vertical="center"/>
      <protection hidden="1"/>
    </xf>
    <xf numFmtId="177" fontId="23" fillId="0" borderId="0" xfId="0" applyNumberFormat="1" applyFont="1" applyAlignment="1" applyProtection="1">
      <alignment vertical="center"/>
      <protection hidden="1"/>
    </xf>
    <xf numFmtId="177" fontId="26" fillId="0" borderId="0" xfId="0" applyNumberFormat="1" applyFont="1" applyAlignment="1" applyProtection="1">
      <alignment horizontal="right" vertical="center"/>
      <protection hidden="1"/>
    </xf>
    <xf numFmtId="177" fontId="26" fillId="0" borderId="0" xfId="0" applyNumberFormat="1" applyFont="1" applyBorder="1" applyAlignment="1" applyProtection="1">
      <alignment horizontal="right" vertical="center"/>
      <protection hidden="1"/>
    </xf>
    <xf numFmtId="165" fontId="22" fillId="0" borderId="10" xfId="0" applyFont="1" applyBorder="1" applyAlignment="1" applyProtection="1">
      <alignment horizontal="left" vertical="center"/>
      <protection hidden="1"/>
    </xf>
    <xf numFmtId="166" fontId="18" fillId="0" borderId="10" xfId="0" applyNumberFormat="1" applyFont="1" applyBorder="1" applyAlignment="1" applyProtection="1">
      <alignment horizontal="right" vertical="center"/>
      <protection hidden="1"/>
    </xf>
    <xf numFmtId="166" fontId="28" fillId="0" borderId="10" xfId="0" applyNumberFormat="1" applyFont="1" applyBorder="1" applyAlignment="1" applyProtection="1">
      <alignment vertical="center"/>
      <protection hidden="1"/>
    </xf>
    <xf numFmtId="10" fontId="28" fillId="0" borderId="10" xfId="0" applyNumberFormat="1" applyFont="1" applyBorder="1" applyAlignment="1" applyProtection="1">
      <alignment horizontal="center" vertical="center"/>
      <protection hidden="1"/>
    </xf>
    <xf numFmtId="49" fontId="21" fillId="5" borderId="0" xfId="0" applyNumberFormat="1" applyFont="1" applyFill="1" applyBorder="1" applyAlignment="1" applyProtection="1">
      <alignment vertical="center"/>
      <protection locked="0" hidden="1"/>
    </xf>
    <xf numFmtId="169" fontId="26" fillId="6" borderId="1" xfId="0" applyNumberFormat="1" applyFont="1" applyFill="1" applyBorder="1" applyAlignment="1" applyProtection="1">
      <alignment horizontal="center" vertical="center"/>
      <protection hidden="1"/>
    </xf>
    <xf numFmtId="169" fontId="26" fillId="6" borderId="3" xfId="0" applyNumberFormat="1" applyFont="1" applyFill="1" applyBorder="1" applyAlignment="1" applyProtection="1">
      <alignment horizontal="center" vertical="center"/>
      <protection hidden="1"/>
    </xf>
    <xf numFmtId="169" fontId="26" fillId="6" borderId="10" xfId="0" applyNumberFormat="1" applyFont="1" applyFill="1" applyBorder="1" applyAlignment="1" applyProtection="1">
      <alignment horizontal="center" vertical="center"/>
      <protection hidden="1"/>
    </xf>
    <xf numFmtId="1" fontId="25" fillId="3" borderId="41" xfId="0" applyNumberFormat="1" applyFont="1" applyFill="1" applyBorder="1" applyAlignment="1" applyProtection="1">
      <alignment horizontal="center" vertical="center"/>
      <protection hidden="1"/>
    </xf>
    <xf numFmtId="1" fontId="20" fillId="0" borderId="0" xfId="0" applyNumberFormat="1" applyFont="1" applyAlignment="1" applyProtection="1">
      <alignment horizontal="left" vertical="center"/>
      <protection hidden="1"/>
    </xf>
    <xf numFmtId="1" fontId="26" fillId="0" borderId="0" xfId="0" quotePrefix="1" applyNumberFormat="1" applyFont="1" applyAlignment="1" applyProtection="1">
      <alignment horizontal="center" vertical="center"/>
      <protection hidden="1"/>
    </xf>
    <xf numFmtId="165" fontId="26" fillId="0" borderId="0" xfId="0" applyFont="1" applyBorder="1" applyAlignment="1" applyProtection="1">
      <alignment horizontal="left" vertical="center"/>
      <protection hidden="1"/>
    </xf>
    <xf numFmtId="10" fontId="26" fillId="0" borderId="0" xfId="0" applyNumberFormat="1" applyFont="1" applyAlignment="1" applyProtection="1">
      <alignment horizontal="center" vertical="center"/>
      <protection hidden="1"/>
    </xf>
    <xf numFmtId="165" fontId="21" fillId="5" borderId="0" xfId="0" applyFont="1" applyFill="1" applyBorder="1" applyAlignment="1" applyProtection="1">
      <alignment vertical="center"/>
      <protection hidden="1"/>
    </xf>
    <xf numFmtId="165" fontId="21" fillId="5" borderId="6" xfId="0" applyFont="1" applyFill="1" applyBorder="1" applyAlignment="1" applyProtection="1">
      <alignment vertical="center"/>
      <protection hidden="1"/>
    </xf>
    <xf numFmtId="169" fontId="26" fillId="6" borderId="5" xfId="0" applyNumberFormat="1" applyFont="1" applyFill="1" applyBorder="1" applyAlignment="1" applyProtection="1">
      <alignment horizontal="center" vertical="center"/>
      <protection hidden="1"/>
    </xf>
    <xf numFmtId="169" fontId="26" fillId="6" borderId="2" xfId="0" applyNumberFormat="1" applyFont="1" applyFill="1" applyBorder="1" applyAlignment="1" applyProtection="1">
      <alignment horizontal="center" vertical="center"/>
      <protection hidden="1"/>
    </xf>
    <xf numFmtId="169" fontId="26" fillId="6" borderId="14" xfId="0" applyNumberFormat="1" applyFont="1" applyFill="1" applyBorder="1" applyAlignment="1" applyProtection="1">
      <alignment horizontal="center" vertical="center"/>
      <protection hidden="1"/>
    </xf>
    <xf numFmtId="1" fontId="20" fillId="5" borderId="37" xfId="0" applyNumberFormat="1" applyFont="1" applyFill="1" applyBorder="1" applyAlignment="1" applyProtection="1">
      <alignment horizontal="center" vertical="center"/>
      <protection locked="0" hidden="1"/>
    </xf>
    <xf numFmtId="165" fontId="21" fillId="0" borderId="0" xfId="0" applyFont="1" applyBorder="1" applyAlignment="1" applyProtection="1">
      <alignment vertical="center"/>
      <protection hidden="1"/>
    </xf>
    <xf numFmtId="165" fontId="26" fillId="0" borderId="0" xfId="0" applyFont="1" applyBorder="1" applyAlignment="1" applyProtection="1">
      <alignment vertical="center"/>
      <protection hidden="1"/>
    </xf>
    <xf numFmtId="10" fontId="23" fillId="0" borderId="0" xfId="0" applyNumberFormat="1" applyFont="1" applyAlignment="1" applyProtection="1">
      <alignment horizontal="center" vertical="center"/>
      <protection hidden="1"/>
    </xf>
    <xf numFmtId="165" fontId="21" fillId="5" borderId="13" xfId="0" applyFont="1" applyFill="1" applyBorder="1" applyAlignment="1" applyProtection="1">
      <alignment vertical="center"/>
      <protection locked="0" hidden="1"/>
    </xf>
    <xf numFmtId="165" fontId="21" fillId="5" borderId="0" xfId="0" applyFont="1" applyFill="1" applyBorder="1" applyAlignment="1" applyProtection="1">
      <alignment horizontal="right" vertical="center"/>
      <protection hidden="1"/>
    </xf>
    <xf numFmtId="165" fontId="21" fillId="5" borderId="6" xfId="0" applyFont="1" applyFill="1" applyBorder="1" applyAlignment="1" applyProtection="1">
      <alignment horizontal="right" vertical="center"/>
      <protection hidden="1"/>
    </xf>
    <xf numFmtId="39" fontId="25" fillId="0" borderId="0" xfId="0" applyNumberFormat="1" applyFont="1" applyAlignment="1" applyProtection="1">
      <alignment horizontal="center" vertical="center"/>
      <protection hidden="1"/>
    </xf>
    <xf numFmtId="49" fontId="23" fillId="0" borderId="1" xfId="0" applyNumberFormat="1" applyFont="1" applyBorder="1" applyAlignment="1" applyProtection="1">
      <alignment horizontal="right" vertical="center"/>
      <protection hidden="1"/>
    </xf>
    <xf numFmtId="10" fontId="22" fillId="3" borderId="1" xfId="0" applyNumberFormat="1" applyFont="1" applyFill="1" applyBorder="1" applyAlignment="1" applyProtection="1">
      <alignment horizontal="center" vertical="center"/>
      <protection hidden="1"/>
    </xf>
    <xf numFmtId="10" fontId="22" fillId="3" borderId="3" xfId="0" applyNumberFormat="1" applyFont="1" applyFill="1" applyBorder="1" applyAlignment="1" applyProtection="1">
      <alignment horizontal="center" vertical="center"/>
      <protection hidden="1"/>
    </xf>
    <xf numFmtId="172" fontId="33" fillId="0" borderId="35" xfId="0" applyNumberFormat="1" applyFont="1" applyBorder="1" applyAlignment="1" applyProtection="1">
      <alignment horizontal="center" vertical="center"/>
      <protection hidden="1"/>
    </xf>
    <xf numFmtId="165" fontId="23" fillId="0" borderId="35" xfId="0" applyFont="1" applyBorder="1" applyAlignment="1" applyProtection="1">
      <alignment horizontal="center" vertical="center"/>
      <protection hidden="1"/>
    </xf>
    <xf numFmtId="1" fontId="21" fillId="0" borderId="0" xfId="0" applyNumberFormat="1" applyFont="1" applyAlignment="1" applyProtection="1">
      <alignment vertical="center"/>
      <protection hidden="1"/>
    </xf>
    <xf numFmtId="10" fontId="23" fillId="0" borderId="6" xfId="0" applyNumberFormat="1" applyFont="1" applyBorder="1" applyAlignment="1" applyProtection="1">
      <alignment horizontal="center" vertical="center"/>
      <protection hidden="1"/>
    </xf>
    <xf numFmtId="49" fontId="21" fillId="5" borderId="14" xfId="0" applyNumberFormat="1" applyFont="1" applyFill="1" applyBorder="1" applyAlignment="1" applyProtection="1">
      <alignment vertical="center"/>
      <protection locked="0" hidden="1"/>
    </xf>
    <xf numFmtId="49" fontId="21" fillId="5" borderId="2" xfId="0" applyNumberFormat="1" applyFont="1" applyFill="1" applyBorder="1" applyAlignment="1" applyProtection="1">
      <alignment vertical="center"/>
      <protection hidden="1"/>
    </xf>
    <xf numFmtId="165" fontId="21" fillId="5" borderId="2" xfId="0" applyFont="1" applyFill="1" applyBorder="1" applyProtection="1">
      <alignment vertical="center"/>
      <protection hidden="1"/>
    </xf>
    <xf numFmtId="165" fontId="21" fillId="5" borderId="7" xfId="0" applyFont="1" applyFill="1" applyBorder="1" applyProtection="1">
      <alignment vertical="center"/>
      <protection hidden="1"/>
    </xf>
    <xf numFmtId="10" fontId="22" fillId="5" borderId="1" xfId="0" applyNumberFormat="1" applyFont="1" applyFill="1" applyBorder="1" applyAlignment="1" applyProtection="1">
      <alignment horizontal="center" vertical="center"/>
      <protection locked="0" hidden="1"/>
    </xf>
    <xf numFmtId="49" fontId="25" fillId="0" borderId="0" xfId="0" applyNumberFormat="1" applyFont="1" applyAlignment="1" applyProtection="1">
      <alignment horizontal="center" vertical="center"/>
      <protection hidden="1"/>
    </xf>
    <xf numFmtId="10" fontId="22" fillId="5" borderId="3" xfId="0" applyNumberFormat="1" applyFont="1" applyFill="1" applyBorder="1" applyAlignment="1" applyProtection="1">
      <alignment horizontal="center" vertical="center"/>
      <protection locked="0" hidden="1"/>
    </xf>
    <xf numFmtId="175" fontId="20" fillId="5" borderId="34" xfId="0" applyNumberFormat="1" applyFont="1" applyFill="1" applyBorder="1" applyAlignment="1" applyProtection="1">
      <alignment horizontal="center" vertical="center"/>
      <protection locked="0" hidden="1"/>
    </xf>
    <xf numFmtId="49" fontId="30" fillId="0" borderId="0" xfId="0" applyNumberFormat="1" applyFont="1" applyAlignment="1" applyProtection="1">
      <alignment vertical="center"/>
      <protection hidden="1"/>
    </xf>
    <xf numFmtId="166" fontId="21" fillId="0" borderId="0" xfId="0" applyNumberFormat="1" applyFont="1" applyAlignment="1" applyProtection="1">
      <alignment horizontal="right" vertical="center"/>
      <protection hidden="1"/>
    </xf>
    <xf numFmtId="178" fontId="21" fillId="0" borderId="0" xfId="0" applyNumberFormat="1" applyFont="1" applyAlignment="1" applyProtection="1">
      <alignment horizontal="center" vertical="center"/>
      <protection hidden="1"/>
    </xf>
    <xf numFmtId="1" fontId="22" fillId="0" borderId="0" xfId="0" applyNumberFormat="1" applyFont="1" applyAlignment="1" applyProtection="1">
      <alignment horizontal="left" vertical="center"/>
      <protection hidden="1"/>
    </xf>
    <xf numFmtId="165" fontId="20" fillId="0" borderId="0" xfId="0" quotePrefix="1" applyFont="1" applyBorder="1" applyAlignment="1" applyProtection="1">
      <alignment horizontal="left" vertical="center"/>
      <protection hidden="1"/>
    </xf>
    <xf numFmtId="165" fontId="22" fillId="0" borderId="0" xfId="0" quotePrefix="1" applyFont="1" applyAlignment="1" applyProtection="1">
      <alignment horizontal="left" vertical="center"/>
      <protection hidden="1"/>
    </xf>
    <xf numFmtId="178" fontId="34" fillId="0" borderId="0" xfId="0" applyNumberFormat="1" applyFont="1" applyAlignment="1" applyProtection="1">
      <alignment horizontal="center" vertical="center"/>
      <protection hidden="1"/>
    </xf>
    <xf numFmtId="49" fontId="21" fillId="2" borderId="0" xfId="0" applyNumberFormat="1" applyFont="1" applyFill="1" applyAlignment="1" applyProtection="1">
      <alignment horizontal="center" vertical="center"/>
      <protection hidden="1"/>
    </xf>
    <xf numFmtId="165" fontId="21" fillId="2" borderId="0" xfId="0" applyFont="1" applyFill="1" applyAlignment="1" applyProtection="1">
      <alignment vertical="center"/>
      <protection hidden="1"/>
    </xf>
    <xf numFmtId="165" fontId="25" fillId="2" borderId="0" xfId="0" quotePrefix="1" applyFont="1" applyFill="1" applyBorder="1" applyAlignment="1" applyProtection="1">
      <alignment horizontal="left" vertical="center"/>
      <protection hidden="1"/>
    </xf>
    <xf numFmtId="168" fontId="21" fillId="2" borderId="0" xfId="0" applyNumberFormat="1" applyFont="1" applyFill="1" applyAlignment="1" applyProtection="1">
      <alignment horizontal="left" vertical="center"/>
      <protection hidden="1"/>
    </xf>
    <xf numFmtId="39" fontId="21" fillId="2" borderId="0" xfId="0" applyNumberFormat="1" applyFont="1" applyFill="1" applyAlignment="1" applyProtection="1">
      <alignment horizontal="right" vertical="center"/>
      <protection hidden="1"/>
    </xf>
    <xf numFmtId="39" fontId="30" fillId="2" borderId="0" xfId="0" applyNumberFormat="1" applyFont="1" applyFill="1" applyAlignment="1" applyProtection="1">
      <alignment horizontal="right" vertical="center"/>
      <protection hidden="1"/>
    </xf>
    <xf numFmtId="39" fontId="28" fillId="2" borderId="0" xfId="0" applyNumberFormat="1" applyFont="1" applyFill="1" applyAlignment="1" applyProtection="1">
      <alignment vertical="center"/>
      <protection hidden="1"/>
    </xf>
    <xf numFmtId="49" fontId="21" fillId="2" borderId="0" xfId="0" applyNumberFormat="1" applyFont="1" applyFill="1" applyAlignment="1" applyProtection="1">
      <alignment vertical="center"/>
      <protection hidden="1"/>
    </xf>
    <xf numFmtId="49" fontId="20" fillId="0" borderId="0" xfId="0" applyNumberFormat="1" applyFont="1" applyAlignment="1" applyProtection="1">
      <alignment horizontal="center" vertical="center"/>
      <protection hidden="1"/>
    </xf>
    <xf numFmtId="165" fontId="25" fillId="2" borderId="0" xfId="0" applyFont="1" applyFill="1" applyBorder="1" applyAlignment="1" applyProtection="1">
      <alignment horizontal="left" vertical="center"/>
      <protection hidden="1"/>
    </xf>
    <xf numFmtId="49" fontId="20" fillId="0" borderId="0" xfId="0" quotePrefix="1" applyNumberFormat="1" applyFont="1" applyAlignment="1" applyProtection="1">
      <alignment horizontal="left" vertical="center"/>
      <protection hidden="1"/>
    </xf>
    <xf numFmtId="165" fontId="20" fillId="2" borderId="0" xfId="0" applyFont="1" applyFill="1" applyBorder="1" applyAlignment="1" applyProtection="1">
      <alignment vertical="center"/>
      <protection hidden="1"/>
    </xf>
    <xf numFmtId="39" fontId="29" fillId="2" borderId="0" xfId="0" applyNumberFormat="1" applyFont="1" applyFill="1" applyAlignment="1" applyProtection="1">
      <alignment horizontal="right" vertical="center"/>
      <protection hidden="1"/>
    </xf>
    <xf numFmtId="49" fontId="29" fillId="0" borderId="0" xfId="0" applyNumberFormat="1" applyFont="1" applyAlignment="1" applyProtection="1">
      <alignment vertical="center"/>
      <protection hidden="1"/>
    </xf>
    <xf numFmtId="49" fontId="35" fillId="0" borderId="0" xfId="0" applyNumberFormat="1" applyFont="1" applyAlignment="1" applyProtection="1">
      <alignment vertical="center"/>
      <protection hidden="1"/>
    </xf>
    <xf numFmtId="49" fontId="26" fillId="0" borderId="0" xfId="0" applyNumberFormat="1" applyFont="1" applyAlignment="1" applyProtection="1">
      <alignment vertical="center"/>
      <protection hidden="1"/>
    </xf>
    <xf numFmtId="49" fontId="26" fillId="0" borderId="0" xfId="0" applyNumberFormat="1" applyFont="1" applyAlignment="1" applyProtection="1">
      <alignment horizontal="left" vertical="center"/>
      <protection hidden="1"/>
    </xf>
    <xf numFmtId="165" fontId="21" fillId="0" borderId="0" xfId="0" applyFont="1" applyProtection="1">
      <alignment vertical="center"/>
      <protection hidden="1"/>
    </xf>
    <xf numFmtId="9" fontId="26" fillId="0" borderId="0" xfId="0" applyNumberFormat="1" applyFont="1" applyAlignment="1" applyProtection="1">
      <alignment horizontal="left" vertical="center"/>
      <protection hidden="1"/>
    </xf>
    <xf numFmtId="165" fontId="36" fillId="0" borderId="0" xfId="0" applyFont="1" applyAlignment="1" applyProtection="1">
      <alignment vertical="center"/>
      <protection hidden="1"/>
    </xf>
    <xf numFmtId="165" fontId="21" fillId="2" borderId="0" xfId="0" applyFont="1" applyFill="1" applyAlignment="1" applyProtection="1">
      <alignment horizontal="right" vertical="center"/>
      <protection hidden="1"/>
    </xf>
    <xf numFmtId="49" fontId="34" fillId="2" borderId="1" xfId="0" applyNumberFormat="1" applyFont="1" applyFill="1" applyBorder="1" applyAlignment="1" applyProtection="1">
      <alignment horizontal="center" vertical="center"/>
      <protection hidden="1"/>
    </xf>
    <xf numFmtId="49" fontId="37" fillId="0" borderId="0" xfId="0" applyNumberFormat="1" applyFont="1" applyAlignment="1" applyProtection="1">
      <alignment horizontal="center" vertical="center"/>
      <protection hidden="1"/>
    </xf>
    <xf numFmtId="49" fontId="37" fillId="0" borderId="0" xfId="0" applyNumberFormat="1" applyFont="1" applyAlignment="1" applyProtection="1">
      <alignment vertical="center"/>
      <protection hidden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CL18210"/>
  <sheetViews>
    <sheetView tabSelected="1" zoomScale="216" zoomScaleNormal="216" workbookViewId="0"/>
  </sheetViews>
  <sheetFormatPr defaultColWidth="0" defaultRowHeight="12.75" zeroHeight="1" x14ac:dyDescent="0.15"/>
  <cols>
    <col min="1" max="1" width="10.375" style="19" customWidth="1"/>
    <col min="2" max="2" width="10.625" style="4" customWidth="1"/>
    <col min="3" max="3" width="10.625" style="27" customWidth="1"/>
    <col min="4" max="4" width="10.625" style="4" customWidth="1"/>
    <col min="5" max="5" width="10.625" style="27" customWidth="1"/>
    <col min="6" max="6" width="10.625" style="4" customWidth="1"/>
    <col min="7" max="7" width="5.125" style="4" customWidth="1"/>
    <col min="8" max="8" width="5.625" style="4" customWidth="1"/>
    <col min="9" max="9" width="15.625" style="19" customWidth="1"/>
    <col min="10" max="10" width="3.125" style="25" customWidth="1"/>
    <col min="11" max="11" width="12.875" style="4" customWidth="1"/>
    <col min="12" max="12" width="4.625" style="27" customWidth="1"/>
    <col min="13" max="13" width="12.375" style="28" customWidth="1"/>
    <col min="14" max="15" width="12.875" style="4" customWidth="1"/>
    <col min="16" max="16" width="17.125" style="19" customWidth="1"/>
    <col min="17" max="17" width="3" style="25" customWidth="1"/>
    <col min="18" max="18" width="15.125" style="20" customWidth="1"/>
    <col min="19" max="19" width="3.25" style="4" customWidth="1"/>
    <col min="20" max="20" width="17.625" style="19" customWidth="1"/>
    <col min="21" max="21" width="3" style="29" customWidth="1"/>
    <col min="22" max="22" width="15.125" style="20" customWidth="1"/>
    <col min="23" max="23" width="17.125" style="20" customWidth="1"/>
    <col min="24" max="24" width="2.75" style="20" customWidth="1"/>
    <col min="25" max="25" width="10.625" style="20" customWidth="1"/>
    <col min="26" max="26" width="2.75" style="20" customWidth="1"/>
    <col min="27" max="27" width="16.875" style="20" customWidth="1"/>
    <col min="28" max="28" width="2.75" style="20" customWidth="1"/>
    <col min="29" max="30" width="10.625" style="20" customWidth="1"/>
    <col min="31" max="31" width="19.875" style="69" customWidth="1"/>
    <col min="32" max="32" width="8.875" style="4" customWidth="1"/>
    <col min="33" max="34" width="12.125" style="20" customWidth="1"/>
    <col min="35" max="36" width="10.625" style="4" customWidth="1"/>
    <col min="37" max="37" width="3.625" style="4" customWidth="1"/>
    <col min="38" max="41" width="10.625" style="20" customWidth="1"/>
    <col min="42" max="42" width="8.375" style="4" customWidth="1"/>
    <col min="43" max="43" width="9.875" style="4" customWidth="1"/>
    <col min="44" max="44" width="9.875" style="20" customWidth="1"/>
    <col min="45" max="45" width="4.625" style="4" customWidth="1"/>
    <col min="46" max="46" width="10.625" style="4" customWidth="1"/>
    <col min="47" max="47" width="10.625" style="23" customWidth="1"/>
    <col min="48" max="48" width="10.625" style="20" customWidth="1"/>
    <col min="49" max="50" width="5.625" style="24" customWidth="1"/>
    <col min="51" max="51" width="10.625" style="23" customWidth="1"/>
    <col min="52" max="52" width="5.625" style="4" customWidth="1"/>
    <col min="53" max="53" width="10.375" style="23" customWidth="1"/>
    <col min="54" max="54" width="4.625" style="23" hidden="1" customWidth="1"/>
    <col min="55" max="71" width="4.625" style="4" hidden="1" customWidth="1"/>
    <col min="72" max="72" width="0.125" style="4" customWidth="1"/>
    <col min="73" max="16384" width="0" style="4" hidden="1"/>
  </cols>
  <sheetData>
    <row r="1" spans="1:90" ht="2.1" customHeight="1" x14ac:dyDescent="0.15">
      <c r="A1" s="80"/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80"/>
      <c r="Y1" s="80"/>
      <c r="Z1" s="80"/>
      <c r="AA1" s="80"/>
      <c r="AB1" s="80"/>
      <c r="AC1" s="80"/>
      <c r="AD1" s="80"/>
      <c r="AE1" s="80"/>
      <c r="AF1" s="80"/>
      <c r="AG1" s="80"/>
      <c r="AH1" s="80"/>
      <c r="AI1" s="80"/>
      <c r="AJ1" s="80"/>
      <c r="AK1" s="80"/>
      <c r="AL1" s="80"/>
      <c r="AM1" s="80"/>
      <c r="AN1" s="80"/>
      <c r="AO1" s="80"/>
      <c r="AP1" s="80"/>
      <c r="AQ1" s="80"/>
      <c r="AR1" s="80"/>
      <c r="AS1" s="80"/>
      <c r="AT1" s="80"/>
      <c r="AU1" s="80"/>
      <c r="AV1" s="80"/>
      <c r="AW1" s="80"/>
      <c r="AX1" s="80"/>
      <c r="AY1" s="80"/>
      <c r="AZ1" s="80"/>
      <c r="BA1" s="80" t="s">
        <v>120</v>
      </c>
      <c r="BB1" s="3"/>
      <c r="BC1" s="46"/>
      <c r="BD1" s="46"/>
      <c r="BE1" s="46"/>
      <c r="BF1" s="46"/>
      <c r="BG1" s="46"/>
      <c r="BH1" s="46"/>
      <c r="BI1" s="46"/>
      <c r="BJ1" s="46"/>
      <c r="BK1" s="46"/>
      <c r="BL1" s="46"/>
      <c r="BM1" s="46"/>
      <c r="BN1" s="46"/>
      <c r="BO1" s="46"/>
      <c r="BP1" s="46"/>
      <c r="BQ1" s="46"/>
      <c r="BR1" s="46"/>
      <c r="BS1" s="46"/>
      <c r="BT1" s="46"/>
    </row>
    <row r="2" spans="1:90" ht="8.25" customHeight="1" x14ac:dyDescent="0.15">
      <c r="A2" s="81" t="s">
        <v>251</v>
      </c>
      <c r="B2" s="82"/>
      <c r="C2" s="83"/>
      <c r="D2" s="84" t="s">
        <v>0</v>
      </c>
      <c r="E2" s="85" t="s">
        <v>132</v>
      </c>
      <c r="F2" s="86"/>
      <c r="G2" s="87" t="s">
        <v>1</v>
      </c>
      <c r="H2" s="88" t="s">
        <v>2</v>
      </c>
      <c r="I2" s="89" t="s">
        <v>3</v>
      </c>
      <c r="J2" s="90"/>
      <c r="K2" s="91"/>
      <c r="L2" s="92"/>
      <c r="M2" s="89"/>
      <c r="N2" s="91"/>
      <c r="O2" s="93" t="s">
        <v>4</v>
      </c>
      <c r="P2" s="89"/>
      <c r="Q2" s="90"/>
      <c r="R2" s="94" t="s">
        <v>202</v>
      </c>
      <c r="S2" s="95" t="str">
        <f>IF(G4="US","US",IF(G4="$S","$S",IF(G4="FS","FS",IF(G4="YJ","YJ",IF(G4="EP","EP",IF(G4="$O","$O",IF(G4="YC","YC",IF(G4="EU","EU"))))))))</f>
        <v>EU</v>
      </c>
      <c r="T2" s="96" t="s">
        <v>5</v>
      </c>
      <c r="U2" s="97"/>
      <c r="V2" s="94" t="s">
        <v>6</v>
      </c>
      <c r="W2" s="98" t="s">
        <v>208</v>
      </c>
      <c r="X2" s="94"/>
      <c r="Y2" s="94"/>
      <c r="Z2" s="94"/>
      <c r="AA2" s="94"/>
      <c r="AB2" s="94"/>
      <c r="AC2" s="94"/>
      <c r="AD2" s="94" t="s">
        <v>7</v>
      </c>
      <c r="AE2" s="99" t="s">
        <v>219</v>
      </c>
      <c r="AF2" s="91"/>
      <c r="AG2" s="100"/>
      <c r="AH2" s="100"/>
      <c r="AI2" s="91"/>
      <c r="AJ2" s="94" t="s">
        <v>9</v>
      </c>
      <c r="AK2" s="89" t="s">
        <v>8</v>
      </c>
      <c r="AL2" s="101" t="s">
        <v>121</v>
      </c>
      <c r="AM2" s="100"/>
      <c r="AN2" s="100"/>
      <c r="AO2" s="100"/>
      <c r="AP2" s="102"/>
      <c r="AQ2" s="103"/>
      <c r="AR2" s="94" t="s">
        <v>172</v>
      </c>
      <c r="AS2" s="96" t="s">
        <v>8</v>
      </c>
      <c r="AT2" s="89" t="s">
        <v>186</v>
      </c>
      <c r="AU2" s="104"/>
      <c r="AV2" s="100"/>
      <c r="AW2" s="105"/>
      <c r="AX2" s="105"/>
      <c r="AY2" s="104"/>
      <c r="AZ2" s="91"/>
      <c r="BA2" s="106" t="s">
        <v>173</v>
      </c>
      <c r="BB2" s="1" t="s">
        <v>10</v>
      </c>
      <c r="BC2" s="36">
        <f>N11</f>
        <v>0</v>
      </c>
      <c r="BD2" s="37">
        <f>IF(G25=1,1)</f>
        <v>1</v>
      </c>
      <c r="BE2" s="37">
        <f>AND(G14&gt;20,G14&lt;=30)*0.018*BE6</f>
        <v>0</v>
      </c>
      <c r="BF2" s="37" t="s">
        <v>170</v>
      </c>
      <c r="BG2" s="37" t="b">
        <f>AX7&gt;0</f>
        <v>0</v>
      </c>
      <c r="BH2" s="37" t="b">
        <f>BD5=0</f>
        <v>1</v>
      </c>
      <c r="BI2" s="78" t="str">
        <f>IF(BD12+BE14+BH12+BD2+BD7+BE18+BF22=5,"OK!","")</f>
        <v/>
      </c>
      <c r="BJ2" s="37">
        <f>IF(G17="LP",1,0)</f>
        <v>0</v>
      </c>
      <c r="BK2" s="39" t="e">
        <f>BJ20/BJ25</f>
        <v>#DIV/0!</v>
      </c>
      <c r="BL2" s="37">
        <f>IF(BL3="",1,0)</f>
        <v>1</v>
      </c>
      <c r="BM2" s="37" t="e">
        <f>IF(AA7&lt;0,1,0)</f>
        <v>#DIV/0!</v>
      </c>
      <c r="BN2" s="75" t="e">
        <f>IF((BM4+BM5+BM11)*BH11=3,"SouN?            "," ")</f>
        <v>#DIV/0!</v>
      </c>
      <c r="BO2" s="37" t="e">
        <f>IF(AA12&lt;0,1,0)</f>
        <v>#DIV/0!</v>
      </c>
      <c r="BP2" s="75" t="e">
        <f>IF((BO4+BO5+BO11+BP9)*BH11=4,"SouN?         "," ")</f>
        <v>#DIV/0!</v>
      </c>
      <c r="BQ2" s="37" t="e">
        <f>((V14/(1+R11)*R11)-AG9)*BF4*BF18*-1</f>
        <v>#DIV/0!</v>
      </c>
      <c r="BR2" s="37" t="e">
        <f>(((V14+BA14)/(1+R11)*R11)-AG9)*BF4*BF18*-1</f>
        <v>#DIV/0!</v>
      </c>
      <c r="BS2" s="2" t="s">
        <v>11</v>
      </c>
      <c r="BT2" s="64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</row>
    <row r="3" spans="1:90" ht="8.25" customHeight="1" x14ac:dyDescent="0.15">
      <c r="A3" s="107" t="s">
        <v>12</v>
      </c>
      <c r="B3" s="108" t="s">
        <v>13</v>
      </c>
      <c r="C3" s="108" t="s">
        <v>14</v>
      </c>
      <c r="D3" s="108" t="s">
        <v>15</v>
      </c>
      <c r="E3" s="108" t="s">
        <v>16</v>
      </c>
      <c r="F3" s="109" t="s">
        <v>17</v>
      </c>
      <c r="G3" s="110" t="s">
        <v>18</v>
      </c>
      <c r="H3" s="111" t="s">
        <v>164</v>
      </c>
      <c r="I3" s="112" t="s">
        <v>19</v>
      </c>
      <c r="J3" s="113" t="s">
        <v>20</v>
      </c>
      <c r="K3" s="37" t="str">
        <f>IF(F2=" "," ",F2)</f>
        <v xml:space="preserve"> </v>
      </c>
      <c r="L3" s="114"/>
      <c r="M3" s="112" t="s">
        <v>21</v>
      </c>
      <c r="N3" s="115" t="str">
        <f>IF(B4="","",B4)</f>
        <v/>
      </c>
      <c r="O3" s="113" t="s">
        <v>15</v>
      </c>
      <c r="P3" s="112" t="s">
        <v>22</v>
      </c>
      <c r="Q3" s="116"/>
      <c r="R3" s="117" t="str">
        <f>N3</f>
        <v/>
      </c>
      <c r="S3" s="118"/>
      <c r="T3" s="119" t="str">
        <f>IF(BH12+BD3+BD4=2,"SITUAÇÃO &gt;&gt;FASE 2&lt;&lt;",BD21)</f>
        <v>SITUAÇÃO &gt;&gt; FASE 1 &lt;&lt;</v>
      </c>
      <c r="U3" s="97"/>
      <c r="V3" s="120" t="str">
        <f>IF(BD3+BD7+BD12+BE14=3,"BASE PREÇO",IF(BD2+BD3+BD4+BD8+BD12+BE14=3,"BASE PREÇO (REF)",IF(BD2+BD3+BL4=2,"BASE CUSTO",IF(BD3+BD7+BF13=1,"BASE PREÇO","BASE PREÇO (REF)"))))</f>
        <v>BASE PREÇO</v>
      </c>
      <c r="W3" s="121" t="s">
        <v>174</v>
      </c>
      <c r="X3" s="122"/>
      <c r="Y3" s="123"/>
      <c r="Z3" s="124"/>
      <c r="AA3" s="124"/>
      <c r="AB3" s="125" t="str">
        <f>IF(BH11=1,"CUSTOS NA REVENDA TOTAL","CUSTOS IMPORTAÇÃO DIRETA")</f>
        <v>CUSTOS NA REVENDA TOTAL</v>
      </c>
      <c r="AC3" s="100"/>
      <c r="AD3" s="124"/>
      <c r="AE3" s="126" t="s">
        <v>183</v>
      </c>
      <c r="AF3" s="127"/>
      <c r="AG3" s="128"/>
      <c r="AH3" s="129" t="s">
        <v>51</v>
      </c>
      <c r="AI3" s="130" t="str">
        <f>IF(AH3="N","&lt;&lt;&lt;= ???","")</f>
        <v>&lt;&lt;&lt;= ???</v>
      </c>
      <c r="AJ3" s="105"/>
      <c r="AK3" s="131" t="s">
        <v>146</v>
      </c>
      <c r="AL3" s="132"/>
      <c r="AM3" s="133" t="str">
        <f>IF(BL2=0,"???",IF(BD12+BE14+BH12+BD2=2,"FASE 1",IF(BH12+BD3=2,"FASE 2",IF(BD4+BH12=1,"FASE 3",BD16))))</f>
        <v>FASE 1</v>
      </c>
      <c r="AN3" s="133" t="str">
        <f>IF(AM3="FASE 1","PREÇO",IF(BF18+BD7=2,"PREÇO",IF(BF18+BD8=2,"MARGEM",IF(AM3="???"," "))))</f>
        <v>PREÇO</v>
      </c>
      <c r="AO3" s="134" t="str">
        <f>IF(BD3+BL8=0,"   VENDA POR VALOR GLOBAL",IF(BH11=0,"   IMPORTAÇÃO DIRETA"," "))</f>
        <v xml:space="preserve"> </v>
      </c>
      <c r="AP3" s="135"/>
      <c r="AQ3" s="136"/>
      <c r="AR3" s="132"/>
      <c r="AS3" s="137" t="s">
        <v>182</v>
      </c>
      <c r="AT3" s="138"/>
      <c r="AU3" s="139"/>
      <c r="AV3" s="129" t="s">
        <v>51</v>
      </c>
      <c r="AW3" s="91"/>
      <c r="AX3" s="140" t="str">
        <f>IF(AV3="N","&lt;&lt;&lt;=     ???   "," ")</f>
        <v xml:space="preserve">&lt;&lt;&lt;=     ???   </v>
      </c>
      <c r="AY3" s="138"/>
      <c r="AZ3" s="138"/>
      <c r="BA3" s="138"/>
      <c r="BB3" s="1" t="s">
        <v>10</v>
      </c>
      <c r="BC3" s="39" t="e">
        <f>B11*B7*(N11/K5)/BC2</f>
        <v>#DIV/0!</v>
      </c>
      <c r="BD3" s="37" t="b">
        <f>IF(G25=2,1)</f>
        <v>0</v>
      </c>
      <c r="BE3" s="37">
        <f>AND(G14&lt;=5)*0.01*BE7</f>
        <v>0</v>
      </c>
      <c r="BF3" s="37" t="e">
        <f>BF4=0</f>
        <v>#DIV/0!</v>
      </c>
      <c r="BG3" s="37" t="b">
        <f>AX8&gt;0</f>
        <v>0</v>
      </c>
      <c r="BH3" s="37" t="s">
        <v>170</v>
      </c>
      <c r="BI3" s="72" t="str">
        <f>IF(BD12+BE14+BH12+BD3+BD7+BD8+BE18+BH13-BH17=5,"Q-5","")</f>
        <v/>
      </c>
      <c r="BJ3" s="47">
        <f>((1+B16*((B12+B13*(1+B12))))/((1-B14-B15)*(1-B16)))</f>
        <v>1</v>
      </c>
      <c r="BK3" s="39" t="e">
        <f>BJ21/BJ25</f>
        <v>#DIV/0!</v>
      </c>
      <c r="BL3" s="78" t="str">
        <f>CONCATENATE(BI3,BI4,BI5,BI6,BI7,BI8,BI9,BI10)</f>
        <v/>
      </c>
      <c r="BM3" s="37" t="e">
        <f>IF(AA7+BQ15=0,1,0)</f>
        <v>#DIV/0!</v>
      </c>
      <c r="BN3" s="73" t="e">
        <f>IF((BM4+BM6+BM10)*BH11=3,"???               "," ")</f>
        <v>#DIV/0!</v>
      </c>
      <c r="BO3" s="37" t="e">
        <f>IF(AA12=0,1,0)</f>
        <v>#DIV/0!</v>
      </c>
      <c r="BP3" s="73" t="e">
        <f>IF((BO4+BO6+BO10+BP9)*BH11=4,"???           "," ")</f>
        <v>#DIV/0!</v>
      </c>
      <c r="BQ3" s="37" t="e">
        <f>((V14*R12)-AG10)*BF7*BD12*BF18*-1</f>
        <v>#DIV/0!</v>
      </c>
      <c r="BR3" s="37" t="e">
        <f>(((V14+BA14)*R12)-AG10)*BF7*BD12*BF18*-1</f>
        <v>#DIV/0!</v>
      </c>
      <c r="BS3" s="2" t="s">
        <v>11</v>
      </c>
      <c r="BT3" s="64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</row>
    <row r="4" spans="1:90" ht="8.25" customHeight="1" x14ac:dyDescent="0.15">
      <c r="A4" s="141"/>
      <c r="B4" s="142"/>
      <c r="C4" s="143"/>
      <c r="D4" s="143"/>
      <c r="E4" s="144"/>
      <c r="F4" s="145"/>
      <c r="G4" s="146" t="s">
        <v>101</v>
      </c>
      <c r="H4" s="147" t="s">
        <v>23</v>
      </c>
      <c r="I4" s="112" t="s">
        <v>27</v>
      </c>
      <c r="J4" s="113" t="s">
        <v>20</v>
      </c>
      <c r="K4" s="148">
        <f>(SUM(B7:F7))*BD9</f>
        <v>0</v>
      </c>
      <c r="L4" s="149"/>
      <c r="M4" s="150" t="s">
        <v>17</v>
      </c>
      <c r="N4" s="151" t="str">
        <f>IF(F4="","",F4)</f>
        <v/>
      </c>
      <c r="O4" s="37" t="str">
        <f>IF(D4="","",D4)</f>
        <v/>
      </c>
      <c r="P4" s="112" t="s">
        <v>28</v>
      </c>
      <c r="Q4" s="113" t="s">
        <v>20</v>
      </c>
      <c r="R4" s="117" t="str">
        <f>N6</f>
        <v/>
      </c>
      <c r="S4" s="118"/>
      <c r="T4" s="152" t="str">
        <f>IF(BD2*BL4=1,"STATUS ESTIMADO EM",IF(BF13=0,"STATUS ESTIMADO EM","STATUS EFETIVO EM"))</f>
        <v>STATUS ESTIMADO EM</v>
      </c>
      <c r="U4" s="153" t="s">
        <v>20</v>
      </c>
      <c r="V4" s="154" t="str">
        <f>IF(AF8=0,N7,AF8)</f>
        <v/>
      </c>
      <c r="W4" s="155" t="str">
        <f>IF(BD2=1,"ACIONADA, BASE PREÇO","VALORES COMPARATIVOS")</f>
        <v>ACIONADA, BASE PREÇO</v>
      </c>
      <c r="X4" s="156"/>
      <c r="Y4" s="156"/>
      <c r="Z4" s="100"/>
      <c r="AA4" s="113" t="str">
        <f>IF(BD2=1,"IMPOSTOS A RECOLHER"," ")</f>
        <v>IMPOSTOS A RECOLHER</v>
      </c>
      <c r="AB4" s="125" t="str">
        <f>IF(G25=1," ",IF(BL4=1,"ACIONADA A FASE 2",IF(G25=2,"ACIONADA A FASE 2",IF(G25=3,"ACIONADA A FASE 3"))))</f>
        <v xml:space="preserve"> </v>
      </c>
      <c r="AC4" s="124"/>
      <c r="AD4" s="136" t="str">
        <f>IF(G25=1," ",IF(AC22=0," ",IF(H25="P","BASE PREÇO",IF(H25="M","BASE MARGEM"))))</f>
        <v xml:space="preserve"> </v>
      </c>
      <c r="AE4" s="99" t="s">
        <v>29</v>
      </c>
      <c r="AF4" s="157" t="s">
        <v>12</v>
      </c>
      <c r="AG4" s="157" t="s">
        <v>216</v>
      </c>
      <c r="AH4" s="157" t="s">
        <v>217</v>
      </c>
      <c r="AI4" s="157" t="s">
        <v>218</v>
      </c>
      <c r="AJ4" s="158" t="s">
        <v>218</v>
      </c>
      <c r="AK4" s="96" t="s">
        <v>31</v>
      </c>
      <c r="AL4" s="157" t="s">
        <v>32</v>
      </c>
      <c r="AM4" s="159" t="str">
        <f>IF(G4="US","PREÇO FOB US",IF(G4="$S","PREÇO $S",IF(G4="FS","PREÇO FS",IF(G4="YJ","PREÇO  YJ",IF(G4="EP","PREÇO EP",IF(G4="$O","PREÇO  $O",IF(G4="YC","PREÇO  YC",IF(G4="EU","PREÇO FOB EU"))))))))</f>
        <v>PREÇO FOB EU</v>
      </c>
      <c r="AN4" s="157" t="s">
        <v>160</v>
      </c>
      <c r="AO4" s="157" t="s">
        <v>159</v>
      </c>
      <c r="AP4" s="157" t="s">
        <v>158</v>
      </c>
      <c r="AQ4" s="159" t="str">
        <f>IF(G4="US","TOT FOB US",IF(G4="$S","TOT FOB $S",IF(G4="FS","TOT FOB FS",IF(G4="YJ","TOT FOB YJ",IF(G4="EP","TOT FOB EP",IF(G4="$O","TOT FOB $O",IF(G4="YC","TOT FOB YC",IF(G4="EU","TOT FOB EU"))))))))</f>
        <v>TOT FOB EU</v>
      </c>
      <c r="AR4" s="157" t="s">
        <v>185</v>
      </c>
      <c r="AS4" s="102"/>
      <c r="AT4" s="91"/>
      <c r="AU4" s="104"/>
      <c r="AV4" s="100"/>
      <c r="AW4" s="105"/>
      <c r="AX4" s="105"/>
      <c r="AY4" s="104"/>
      <c r="AZ4" s="91"/>
      <c r="BA4" s="104"/>
      <c r="BB4" s="1" t="s">
        <v>10</v>
      </c>
      <c r="BC4" s="39" t="e">
        <f>C11*C7*(N11/K5)/BC2</f>
        <v>#DIV/0!</v>
      </c>
      <c r="BD4" s="37" t="b">
        <f>IF(G25=3,1)</f>
        <v>0</v>
      </c>
      <c r="BE4" s="37">
        <f>AND(G14&gt;5,G14&lt;=10)*0.015*BE7</f>
        <v>0</v>
      </c>
      <c r="BF4" s="37" t="e">
        <f>Y7&gt;=Y6</f>
        <v>#DIV/0!</v>
      </c>
      <c r="BG4" s="37" t="b">
        <f>AX9&gt;0</f>
        <v>0</v>
      </c>
      <c r="BH4" s="37" t="s">
        <v>170</v>
      </c>
      <c r="BI4" s="72" t="str">
        <f>IF(BD12+BE14+BH12+BD3+BD4+BD7+BD8+BE18+BF22-BI19-BI20=5,"Q-5","")</f>
        <v/>
      </c>
      <c r="BJ4" s="47">
        <f>((1+C16*((C12+C13*(1+C12))))/((1-C14-C15)*(1-C16)))</f>
        <v>1</v>
      </c>
      <c r="BK4" s="39" t="e">
        <f>BJ22/BJ25</f>
        <v>#DIV/0!</v>
      </c>
      <c r="BL4" s="37">
        <f>IF(G16="D",1,0)</f>
        <v>0</v>
      </c>
      <c r="BM4" s="37" t="e">
        <f>IF(AA7&gt;0,1,0)</f>
        <v>#DIV/0!</v>
      </c>
      <c r="BN4" s="74" t="e">
        <f>IF(Y6+Y7=0,"OK!                "," ")</f>
        <v>#DIV/0!</v>
      </c>
      <c r="BO4" s="37" t="e">
        <f>IF(AA12&gt;0,1,0)</f>
        <v>#DIV/0!</v>
      </c>
      <c r="BP4" s="73" t="e">
        <f>IF((BO4+BO7+BO9+BP8)*BH11=4,"OK!             "," ")</f>
        <v>#DIV/0!</v>
      </c>
      <c r="BQ4" s="37" t="e">
        <f>((V14/(1+R11)*R12)-AG10)*BF9*BE14*BF18*-1</f>
        <v>#DIV/0!</v>
      </c>
      <c r="BR4" s="37" t="e">
        <f>(((V14+BA14)/(1+R11)*R12)-AG10)*BF9*BE14*BF18*-1</f>
        <v>#DIV/0!</v>
      </c>
      <c r="BS4" s="2" t="s">
        <v>11</v>
      </c>
      <c r="BT4" s="64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</row>
    <row r="5" spans="1:90" ht="8.25" customHeight="1" x14ac:dyDescent="0.15">
      <c r="A5" s="150" t="s">
        <v>191</v>
      </c>
      <c r="B5" s="160" t="s">
        <v>26</v>
      </c>
      <c r="C5" s="160" t="s">
        <v>35</v>
      </c>
      <c r="D5" s="160" t="s">
        <v>36</v>
      </c>
      <c r="E5" s="160" t="s">
        <v>37</v>
      </c>
      <c r="F5" s="161" t="s">
        <v>38</v>
      </c>
      <c r="G5" s="162" t="s">
        <v>142</v>
      </c>
      <c r="H5" s="163"/>
      <c r="I5" s="112" t="s">
        <v>39</v>
      </c>
      <c r="J5" s="113" t="s">
        <v>20</v>
      </c>
      <c r="K5" s="164">
        <f>IF(K7+K8=0,0,(((B7*B11)+(C7*C11)+(D7*D11)+(E7*E11)+(F7*F11))*BD9))</f>
        <v>0</v>
      </c>
      <c r="L5" s="165" t="str">
        <f>G4</f>
        <v>EU</v>
      </c>
      <c r="M5" s="112" t="s">
        <v>18</v>
      </c>
      <c r="N5" s="37" t="str">
        <f>G4</f>
        <v>EU</v>
      </c>
      <c r="O5" s="113" t="s">
        <v>16</v>
      </c>
      <c r="P5" s="112" t="str">
        <f>IF(G4="US","CÂMBIO  US",IF(G4="$S","CÂMBIO  $S",IF(G4="FS","CÂMBIO  FS",IF(G4="YJ","CÂMBIO  YJ",IF(G4="EP","CÂMBIO  EP",IF(G4="$O","CÂMBIO  $O",IF(G4="YC","CÂMBIO  YC",IF(G4="EU","CÂMBIO  EU"))))))))</f>
        <v>CÂMBIO  EU</v>
      </c>
      <c r="Q5" s="113" t="s">
        <v>20</v>
      </c>
      <c r="R5" s="166">
        <f>K14</f>
        <v>0</v>
      </c>
      <c r="S5" s="118"/>
      <c r="T5" s="152" t="str">
        <f>IF(BD2*BL4=1,"CÂMBIO ESTIMADO",IF(BF13=0,"CÂMBIO ESTIMADO","CÂMBIO EFETIVO"))</f>
        <v>CÂMBIO ESTIMADO</v>
      </c>
      <c r="U5" s="124" t="str">
        <f>G4</f>
        <v>EU</v>
      </c>
      <c r="V5" s="167" t="e">
        <f>IF(BD2*BL4=1,R5,(AG24/K5/N22*BF13)+(AH24/K5/N22*BD7*BF17))</f>
        <v>#DIV/0!</v>
      </c>
      <c r="W5" s="168"/>
      <c r="X5" s="169"/>
      <c r="Y5" s="170" t="str">
        <f>IF(BD3+BD4=1,"                   IMPOSTOS A RECOHER E CUSTOS"," ")</f>
        <v xml:space="preserve"> </v>
      </c>
      <c r="Z5" s="171"/>
      <c r="AA5" s="172"/>
      <c r="AB5" s="173" t="str">
        <f>IF(BD2=1," ","=&gt;")</f>
        <v xml:space="preserve"> </v>
      </c>
      <c r="AC5" s="174" t="str">
        <f>IF(BD8=1,"=&gt;&gt;&gt;",IF(BD2=1," ","EFETIVOS"))</f>
        <v xml:space="preserve"> </v>
      </c>
      <c r="AD5" s="174" t="str">
        <f>IF(BD8=1,"EFETIVOS"," ")</f>
        <v xml:space="preserve"> </v>
      </c>
      <c r="AE5" s="175" t="s">
        <v>226</v>
      </c>
      <c r="AF5" s="176"/>
      <c r="AG5" s="177">
        <f>AH5</f>
        <v>0</v>
      </c>
      <c r="AH5" s="178">
        <v>0</v>
      </c>
      <c r="AI5" s="179">
        <f>(AG5-AH5)*BF13</f>
        <v>0</v>
      </c>
      <c r="AJ5" s="180">
        <f>AI5/(AH5+BF21)</f>
        <v>0</v>
      </c>
      <c r="AK5" s="181" t="s">
        <v>26</v>
      </c>
      <c r="AL5" s="182" t="str">
        <f>B6</f>
        <v>AA</v>
      </c>
      <c r="AM5" s="179">
        <f>IF(BL8+BH13=0,0,B11)</f>
        <v>0</v>
      </c>
      <c r="AN5" s="179" t="e">
        <f>IF(BL8+BH13=0,0,B25)</f>
        <v>#DIV/0!</v>
      </c>
      <c r="AO5" s="179" t="e">
        <f>AN5/(1+B17)*BH11</f>
        <v>#DIV/0!</v>
      </c>
      <c r="AP5" s="183">
        <f>IF(BL8+BH13=0,0,B7)</f>
        <v>0</v>
      </c>
      <c r="AQ5" s="179">
        <f>AM5*AP5</f>
        <v>0</v>
      </c>
      <c r="AR5" s="179" t="e">
        <f>AN5*AP5</f>
        <v>#DIV/0!</v>
      </c>
      <c r="AS5" s="184"/>
      <c r="AT5" s="185"/>
      <c r="AU5" s="185"/>
      <c r="AV5" s="186"/>
      <c r="AW5" s="187" t="s">
        <v>158</v>
      </c>
      <c r="AX5" s="188" t="s">
        <v>66</v>
      </c>
      <c r="AY5" s="189"/>
      <c r="AZ5" s="187"/>
      <c r="BA5" s="138"/>
      <c r="BB5" s="1" t="s">
        <v>10</v>
      </c>
      <c r="BC5" s="39" t="e">
        <f>D11*D7*(N11/K5)/BC2</f>
        <v>#DIV/0!</v>
      </c>
      <c r="BD5" s="37" t="b">
        <f>AND(G25=1,H25="M")</f>
        <v>0</v>
      </c>
      <c r="BE5" s="37">
        <f>AND(G14&gt;10,G14&lt;=20)*0.03*BE7</f>
        <v>0</v>
      </c>
      <c r="BF5" s="37" t="s">
        <v>170</v>
      </c>
      <c r="BG5" s="37" t="b">
        <f>AX10&gt;0</f>
        <v>0</v>
      </c>
      <c r="BH5" s="37" t="s">
        <v>170</v>
      </c>
      <c r="BI5" s="72" t="str">
        <f>IF(BD12+BE14+BD4+BD7+BD8+BE18+BH13=5,"Q-7","")</f>
        <v/>
      </c>
      <c r="BJ5" s="47">
        <f>((1+D16*((D12+D13*(1+D12))))/((1-D14-D15)*(1-D16)))</f>
        <v>1</v>
      </c>
      <c r="BK5" s="39" t="e">
        <f>BJ23/BJ25</f>
        <v>#DIV/0!</v>
      </c>
      <c r="BL5" s="37" t="s">
        <v>170</v>
      </c>
      <c r="BM5" s="37" t="e">
        <f>IF(AA10&lt;0,1,0)</f>
        <v>#DIV/0!</v>
      </c>
      <c r="BN5" s="37" t="s">
        <v>170</v>
      </c>
      <c r="BO5" s="37" t="e">
        <f>IF(AA14&lt;0,1,0)</f>
        <v>#DIV/0!</v>
      </c>
      <c r="BP5" s="73" t="e">
        <f>IF((BO4+BO7+BO8+BP8)*BH11=4,"s/Fn.               "," ")</f>
        <v>#DIV/0!</v>
      </c>
      <c r="BQ5" s="37" t="e">
        <f>((V14*(1-R11)*R13)-AG11)*BK7*BK14*BF18*-1</f>
        <v>#DIV/0!</v>
      </c>
      <c r="BR5" s="37" t="e">
        <f>(((V14-BA14)*(1-R11)*R13)-AG11)*BK7*BK14*BF18*-1</f>
        <v>#DIV/0!</v>
      </c>
      <c r="BS5" s="2" t="s">
        <v>11</v>
      </c>
      <c r="BT5" s="64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</row>
    <row r="6" spans="1:90" ht="8.25" customHeight="1" x14ac:dyDescent="0.15">
      <c r="A6" s="150" t="s">
        <v>32</v>
      </c>
      <c r="B6" s="143" t="s">
        <v>231</v>
      </c>
      <c r="C6" s="143" t="s">
        <v>124</v>
      </c>
      <c r="D6" s="143" t="s">
        <v>125</v>
      </c>
      <c r="E6" s="143" t="s">
        <v>126</v>
      </c>
      <c r="F6" s="145" t="s">
        <v>127</v>
      </c>
      <c r="G6" s="190">
        <v>0</v>
      </c>
      <c r="H6" s="191">
        <v>0</v>
      </c>
      <c r="I6" s="112" t="s">
        <v>40</v>
      </c>
      <c r="J6" s="113" t="s">
        <v>20</v>
      </c>
      <c r="K6" s="192">
        <f>B19*BD9</f>
        <v>0</v>
      </c>
      <c r="L6" s="182"/>
      <c r="M6" s="112" t="s">
        <v>14</v>
      </c>
      <c r="N6" s="37" t="str">
        <f>IF(C4="","",C4)</f>
        <v/>
      </c>
      <c r="O6" s="193" t="str">
        <f>IF(E4="","",E4)</f>
        <v/>
      </c>
      <c r="P6" s="112" t="s">
        <v>41</v>
      </c>
      <c r="Q6" s="113" t="s">
        <v>20</v>
      </c>
      <c r="R6" s="164">
        <f>K15</f>
        <v>0</v>
      </c>
      <c r="S6" s="118"/>
      <c r="T6" s="152" t="str">
        <f>IF(BD2*BL4=1,"CÂMBIO ESTIMADO",IF(BF13=0,"CÂMBIO ESTIMADO","CÂMBIO EFETIVO"))</f>
        <v>CÂMBIO ESTIMADO</v>
      </c>
      <c r="U6" s="153" t="s">
        <v>100</v>
      </c>
      <c r="V6" s="167">
        <f>IF(BD2*BL4=1,R6,(AG23*BF13)+(AH23*BD7*BF17))</f>
        <v>0</v>
      </c>
      <c r="W6" s="194" t="s">
        <v>234</v>
      </c>
      <c r="X6" s="195" t="s">
        <v>20</v>
      </c>
      <c r="Y6" s="196" t="e">
        <f>R9/(1+R11)*R11*BF20*BH11</f>
        <v>#DIV/0!</v>
      </c>
      <c r="Z6" s="197" t="s">
        <v>131</v>
      </c>
      <c r="AA6" s="198" t="e">
        <f>IF(BM3*BH11=0," ","CRÉDITO FUTURO !!!")</f>
        <v>#DIV/0!</v>
      </c>
      <c r="AB6" s="199" t="s">
        <v>93</v>
      </c>
      <c r="AC6" s="200" t="e">
        <f>((((V14/(1+R11)*R11)-AG9)*BF18)*(BD3*(BD7+BD8)*BQ7))+((((V14/(1+R11)*R11*(1+AZ14))-AG9)*BF18)*(BD4*(BD7+BD8)*BQ7))</f>
        <v>#DIV/0!</v>
      </c>
      <c r="AD6" s="200">
        <f>IF((BD3+BD4)*BD8=1,((((R9/(1+R11)*R11)-AG9)*BF18)*(BD3*(BD7+BD8)*BQ7))+((((R9/(1+R11)*R11*(1+AZ14))-AG9)*BF18)*(BD4*(BD7+BD8)*BQ7)),0)</f>
        <v>0</v>
      </c>
      <c r="AE6" s="201" t="s">
        <v>157</v>
      </c>
      <c r="AF6" s="176"/>
      <c r="AG6" s="177">
        <f t="shared" ref="AG6:AG23" si="0">AH6</f>
        <v>0</v>
      </c>
      <c r="AH6" s="164">
        <f>(K5*K14)-AH5</f>
        <v>0</v>
      </c>
      <c r="AI6" s="179">
        <f>(AG6-AH6)*BF13</f>
        <v>0</v>
      </c>
      <c r="AJ6" s="180">
        <f>AI6/(AH6+BF21)</f>
        <v>0</v>
      </c>
      <c r="AK6" s="181" t="s">
        <v>35</v>
      </c>
      <c r="AL6" s="182" t="str">
        <f>C6</f>
        <v>BB</v>
      </c>
      <c r="AM6" s="179">
        <f>IF(BL8+BH13=0,0,C11)</f>
        <v>0</v>
      </c>
      <c r="AN6" s="179" t="e">
        <f>IF(BL8+BH13=0,0,C25)</f>
        <v>#DIV/0!</v>
      </c>
      <c r="AO6" s="179" t="e">
        <f>AN6/(1+B17)*BH11</f>
        <v>#DIV/0!</v>
      </c>
      <c r="AP6" s="183">
        <f>IF(BL8+BH13=0,0,C7)</f>
        <v>0</v>
      </c>
      <c r="AQ6" s="179">
        <f>AM6*AP6</f>
        <v>0</v>
      </c>
      <c r="AR6" s="179" t="e">
        <f>AN6*AP6</f>
        <v>#DIV/0!</v>
      </c>
      <c r="AS6" s="202" t="s">
        <v>71</v>
      </c>
      <c r="AT6" s="189"/>
      <c r="AU6" s="203"/>
      <c r="AV6" s="185"/>
      <c r="AW6" s="204" t="str">
        <f>IF(AX6&gt;0,"TOT.","=&gt;&gt;&gt;")</f>
        <v>=&gt;&gt;&gt;</v>
      </c>
      <c r="AX6" s="205"/>
      <c r="AY6" s="187" t="str">
        <f>IF(AV3="N","DESC   ???","")</f>
        <v>DESC   ???</v>
      </c>
      <c r="AZ6" s="206"/>
      <c r="BA6" s="207"/>
      <c r="BB6" s="1" t="s">
        <v>10</v>
      </c>
      <c r="BC6" s="39" t="e">
        <f>E11*E7*(N11/K5)/BC2</f>
        <v>#DIV/0!</v>
      </c>
      <c r="BD6" s="37">
        <f>IF(BF14=0,0,IF(BG7=0,0,IF(G25=1,0,IF(G25=2,0,IF(AY10="Q-5  ???",0,1)))))</f>
        <v>0</v>
      </c>
      <c r="BE6" s="37" t="b">
        <f>D19&gt;0</f>
        <v>0</v>
      </c>
      <c r="BF6" s="37" t="e">
        <f>BF7=0</f>
        <v>#DIV/0!</v>
      </c>
      <c r="BG6" s="37" t="b">
        <f>AX11&gt;0</f>
        <v>0</v>
      </c>
      <c r="BH6" s="37">
        <f>BG7*BF14*BD4*BD8*BH8</f>
        <v>0</v>
      </c>
      <c r="BI6" s="72" t="str">
        <f>IF(BD12+BE14+BD4+BD7+BD8+BF13+BH13=5,"Q-7","")</f>
        <v/>
      </c>
      <c r="BJ6" s="47">
        <f>((1+E16*((E12+E13*(1+E12))))/((1-E14-E15)*(1-E16)))</f>
        <v>1</v>
      </c>
      <c r="BK6" s="39" t="e">
        <f>BJ24/BJ25</f>
        <v>#DIV/0!</v>
      </c>
      <c r="BL6" s="37" t="s">
        <v>170</v>
      </c>
      <c r="BM6" s="37" t="e">
        <f>IF(AA10=0,1,0)</f>
        <v>#DIV/0!</v>
      </c>
      <c r="BN6" s="37" t="s">
        <v>170</v>
      </c>
      <c r="BO6" s="37" t="e">
        <f>IF(AA14=0,1,0)</f>
        <v>#DIV/0!</v>
      </c>
      <c r="BP6" s="73" t="e">
        <f>IF((BO4+BO7+BO10+BP8)*BH11=4,"s/Fn.                 "," ")</f>
        <v>#DIV/0!</v>
      </c>
      <c r="BQ6" s="37" t="e">
        <f>((V14*(1-R11)*R14)-AG12)*BK7*BK17*BF18*-1</f>
        <v>#DIV/0!</v>
      </c>
      <c r="BR6" s="37" t="e">
        <f>(((V14+BA14)*(1-R11)*R14)-AG12)*BK7*BK17*BF18*-1</f>
        <v>#DIV/0!</v>
      </c>
      <c r="BS6" s="2" t="s">
        <v>11</v>
      </c>
      <c r="BT6" s="64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</row>
    <row r="7" spans="1:90" ht="8.25" customHeight="1" x14ac:dyDescent="0.15">
      <c r="A7" s="112" t="s">
        <v>27</v>
      </c>
      <c r="B7" s="208"/>
      <c r="C7" s="208"/>
      <c r="D7" s="208"/>
      <c r="E7" s="208"/>
      <c r="F7" s="208"/>
      <c r="G7" s="209" t="s">
        <v>51</v>
      </c>
      <c r="H7" s="210" t="s">
        <v>43</v>
      </c>
      <c r="I7" s="112" t="s">
        <v>44</v>
      </c>
      <c r="J7" s="113" t="s">
        <v>20</v>
      </c>
      <c r="K7" s="164">
        <f>IF(C19="??? =&gt;&gt;&gt;",0,IF(C19="s/Fn. =&gt;&gt;&gt;",0,D19*BD9))</f>
        <v>0</v>
      </c>
      <c r="L7" s="165" t="str">
        <f>G4</f>
        <v>EU</v>
      </c>
      <c r="M7" s="112" t="s">
        <v>45</v>
      </c>
      <c r="N7" s="211" t="str">
        <f>IF(A4="","",A4)</f>
        <v/>
      </c>
      <c r="O7" s="212" t="str">
        <f>IF(BF13=0,N7,AF8)</f>
        <v/>
      </c>
      <c r="P7" s="112" t="s">
        <v>225</v>
      </c>
      <c r="Q7" s="113" t="s">
        <v>20</v>
      </c>
      <c r="R7" s="213">
        <f>D22</f>
        <v>0</v>
      </c>
      <c r="S7" s="118"/>
      <c r="T7" s="125" t="s">
        <v>42</v>
      </c>
      <c r="U7" s="153" t="s">
        <v>20</v>
      </c>
      <c r="V7" s="179">
        <f>IF(BD2*BL4=1,K5*R5,((AG5+AG6)*BF13)+((AH5+AH6)*BD7*BF17))</f>
        <v>0</v>
      </c>
      <c r="W7" s="214" t="s">
        <v>210</v>
      </c>
      <c r="X7" s="215" t="s">
        <v>20</v>
      </c>
      <c r="Y7" s="216" t="e">
        <f>((N13-N12)*R5*BF20)</f>
        <v>#DIV/0!</v>
      </c>
      <c r="Z7" s="217" t="s">
        <v>20</v>
      </c>
      <c r="AA7" s="218" t="e">
        <f>((Y6-Y7)*BF3)+((Y6-Y7)*BF4*BE12)*BH11</f>
        <v>#DIV/0!</v>
      </c>
      <c r="AB7" s="219"/>
      <c r="AC7" s="220"/>
      <c r="AD7" s="221"/>
      <c r="AE7" s="201" t="s">
        <v>47</v>
      </c>
      <c r="AF7" s="176"/>
      <c r="AG7" s="177">
        <f t="shared" si="0"/>
        <v>0</v>
      </c>
      <c r="AH7" s="164">
        <f>(K6*K7*BE16*K14)+(K6*K8*BE17*K14)</f>
        <v>0</v>
      </c>
      <c r="AI7" s="179">
        <f>(AG7-AH7)*BF13</f>
        <v>0</v>
      </c>
      <c r="AJ7" s="180">
        <f>AI7/(AH7+BF21)</f>
        <v>0</v>
      </c>
      <c r="AK7" s="181" t="s">
        <v>36</v>
      </c>
      <c r="AL7" s="182" t="str">
        <f>D6</f>
        <v>CC</v>
      </c>
      <c r="AM7" s="179">
        <f>IF(BL8+BH13=0,0,D11)</f>
        <v>0</v>
      </c>
      <c r="AN7" s="179" t="e">
        <f>IF(BL8+BH13=0,0,D25)</f>
        <v>#DIV/0!</v>
      </c>
      <c r="AO7" s="179" t="e">
        <f>AN7/(1+B17)*BH11</f>
        <v>#DIV/0!</v>
      </c>
      <c r="AP7" s="183">
        <f>IF(BL8+BH13=0,0,D7)</f>
        <v>0</v>
      </c>
      <c r="AQ7" s="179">
        <f>AM7*AP7</f>
        <v>0</v>
      </c>
      <c r="AR7" s="179" t="e">
        <f>AN7*AP7</f>
        <v>#DIV/0!</v>
      </c>
      <c r="AS7" s="202" t="s">
        <v>235</v>
      </c>
      <c r="AT7" s="189"/>
      <c r="AU7" s="222"/>
      <c r="AV7" s="185"/>
      <c r="AW7" s="223"/>
      <c r="AX7" s="205"/>
      <c r="AY7" s="187" t="str">
        <f>IF(BG7+BF25+BN25=1,"DESC   ???",IF(BG11=0,"DESC   ???"," "))</f>
        <v>DESC   ???</v>
      </c>
      <c r="AZ7" s="206"/>
      <c r="BA7" s="224"/>
      <c r="BB7" s="1" t="s">
        <v>10</v>
      </c>
      <c r="BC7" s="39" t="e">
        <f>F11*F7*(N11/K5)/BC2</f>
        <v>#DIV/0!</v>
      </c>
      <c r="BD7" s="40">
        <f>IF(H25="P",1)</f>
        <v>1</v>
      </c>
      <c r="BE7" s="37" t="b">
        <f>F19&gt;0</f>
        <v>0</v>
      </c>
      <c r="BF7" s="37" t="e">
        <f>Y10&gt;=Y8</f>
        <v>#DIV/0!</v>
      </c>
      <c r="BG7" s="37" t="b">
        <f>AY12&gt;0</f>
        <v>0</v>
      </c>
      <c r="BH7" s="37" t="b">
        <f>BH6&lt;&gt;1</f>
        <v>1</v>
      </c>
      <c r="BI7" s="72" t="str">
        <f>IF(BD12+BE14+BH12+BD2+BD3+BD4+BD8+BD7+BE18+BH13-BH14-BH15-BH16=5,"s/Fn.","")</f>
        <v/>
      </c>
      <c r="BJ7" s="47">
        <f>((1+F16*((F12+F13*(1+F12))))/((1-F14-F15)*(1-F16)))</f>
        <v>1</v>
      </c>
      <c r="BK7" s="49">
        <f>IF(G17="LR",1,0)</f>
        <v>1</v>
      </c>
      <c r="BL7" s="37" t="s">
        <v>170</v>
      </c>
      <c r="BM7" s="37" t="e">
        <f>IF(AA10&gt;0,1,0)</f>
        <v>#DIV/0!</v>
      </c>
      <c r="BN7" s="37" t="s">
        <v>170</v>
      </c>
      <c r="BO7" s="37" t="e">
        <f>IF(AA14&gt;0,1,0)</f>
        <v>#DIV/0!</v>
      </c>
      <c r="BP7" s="74" t="e">
        <f>IF((BO4+BO7+BO11+BP8)*BH11=4,"s/Fn.                   "," ")</f>
        <v>#DIV/0!</v>
      </c>
      <c r="BQ7" s="37" t="e">
        <f>BM3=0</f>
        <v>#DIV/0!</v>
      </c>
      <c r="BR7" s="37" t="e">
        <f>(((R9+BA14)/(1+R11)*R11)-AG9)*BF4*BF18*-1</f>
        <v>#DIV/0!</v>
      </c>
      <c r="BS7" s="2" t="s">
        <v>11</v>
      </c>
      <c r="BT7" s="64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</row>
    <row r="8" spans="1:90" ht="8.25" customHeight="1" x14ac:dyDescent="0.15">
      <c r="A8" s="112" t="s">
        <v>48</v>
      </c>
      <c r="B8" s="225"/>
      <c r="C8" s="225"/>
      <c r="D8" s="225"/>
      <c r="E8" s="225"/>
      <c r="F8" s="225"/>
      <c r="G8" s="226" t="s">
        <v>51</v>
      </c>
      <c r="H8" s="227" t="s">
        <v>49</v>
      </c>
      <c r="I8" s="112" t="s">
        <v>50</v>
      </c>
      <c r="J8" s="113" t="s">
        <v>20</v>
      </c>
      <c r="K8" s="164">
        <f>IF(E19="??? =&gt;&gt;&gt;",0,IF(E19="s/Fn. =&gt;&gt;&gt;",0,F19*BD9))</f>
        <v>0</v>
      </c>
      <c r="L8" s="165" t="str">
        <f>G4</f>
        <v>EU</v>
      </c>
      <c r="M8" s="228" t="str">
        <f>IF(G4="US","EM  US (S/N)    =&gt;&gt;",IF(G4="$S","EM  $S (S/N)    =&gt;&gt;",IF(G4="FS","EM  FS (S/N)    =&gt;&gt;",IF(G4="YJ","EM  YJ (S/N)    =&gt;&gt;",IF(G4="EP","EM  EP (S/N)    =&gt;&gt;",IF(G4="$O","EM  $O (S/N)    =&gt;&gt;",IF(G4="YC","EM YC (S/N)     =&gt;&gt;",IF(G4="EU","EM  EU (S/N)    =&gt;&gt;"))))))))</f>
        <v>EM  EU (S/N)    =&gt;&gt;</v>
      </c>
      <c r="N8" s="229" t="s">
        <v>51</v>
      </c>
      <c r="O8" s="230" t="str">
        <f>IF(N8="N","R$",G4)</f>
        <v>R$</v>
      </c>
      <c r="P8" s="112" t="s">
        <v>52</v>
      </c>
      <c r="Q8" s="113" t="s">
        <v>20</v>
      </c>
      <c r="R8" s="164">
        <f>F21+B22</f>
        <v>0</v>
      </c>
      <c r="S8" s="118"/>
      <c r="T8" s="231" t="s">
        <v>46</v>
      </c>
      <c r="U8" s="153" t="s">
        <v>20</v>
      </c>
      <c r="V8" s="232" t="e">
        <f>IF(BD2*BL4=1,AH7/AH6,((AG7/(AG5+AG6))*BF13)+((AH7/(AH5+AH6+BF21))*BD7*BF17))</f>
        <v>#DIV/0!</v>
      </c>
      <c r="W8" s="233" t="s">
        <v>213</v>
      </c>
      <c r="X8" s="195" t="s">
        <v>20</v>
      </c>
      <c r="Y8" s="196" t="e">
        <f>R9*R12*BD12*BF20*BH11</f>
        <v>#DIV/0!</v>
      </c>
      <c r="Z8" s="197" t="s">
        <v>131</v>
      </c>
      <c r="AA8" s="173" t="e">
        <f>IF(BM6*BH11=0," ","CRÉDITO FUTURO !!!")</f>
        <v>#DIV/0!</v>
      </c>
      <c r="AB8" s="234" t="s">
        <v>93</v>
      </c>
      <c r="AC8" s="235" t="e">
        <f>(((V14*R12)-AG10)*BF18*BD12*(BD3*(BD7+BD8)*BQ8))+(((V14*R12*(1+AZ14))-AG10)*BF18*BD12*(BD4*(BD7+BD8)*BQ8))</f>
        <v>#DIV/0!</v>
      </c>
      <c r="AD8" s="235">
        <f>IF((BD3+BD4)*BD8=1,(((R9*R12)-AG10)*BF18*BD12*(BD3*(BD7+BD8)*BQ8))+(((R9*R12*(1+AZ14))-AG10)*BF18*BD12*(BD4*(BD7+BD8)*BQ8)),0)</f>
        <v>0</v>
      </c>
      <c r="AE8" s="201" t="s">
        <v>221</v>
      </c>
      <c r="AF8" s="176"/>
      <c r="AG8" s="177" t="e">
        <f t="shared" si="0"/>
        <v>#DIV/0!</v>
      </c>
      <c r="AH8" s="164" t="e">
        <f>(N12-N11)*K14</f>
        <v>#DIV/0!</v>
      </c>
      <c r="AI8" s="179" t="e">
        <f>(AG8-AH8)*BF13</f>
        <v>#DIV/0!</v>
      </c>
      <c r="AJ8" s="180" t="e">
        <f>AI8/(AH8+BF21)</f>
        <v>#DIV/0!</v>
      </c>
      <c r="AK8" s="181" t="s">
        <v>37</v>
      </c>
      <c r="AL8" s="182" t="str">
        <f>E6</f>
        <v>DD</v>
      </c>
      <c r="AM8" s="179">
        <f>IF(BL8+BH13=0,0,E11)</f>
        <v>0</v>
      </c>
      <c r="AN8" s="179" t="e">
        <f>IF(BL8+BH13=0,0,E25)</f>
        <v>#DIV/0!</v>
      </c>
      <c r="AO8" s="179" t="e">
        <f>AN8/(1+B17)*BH11</f>
        <v>#DIV/0!</v>
      </c>
      <c r="AP8" s="183">
        <f>IF(BL8+BH13=0,0,E7)</f>
        <v>0</v>
      </c>
      <c r="AQ8" s="179">
        <f>AM8*AP8</f>
        <v>0</v>
      </c>
      <c r="AR8" s="179" t="e">
        <f>AN8*AP8</f>
        <v>#DIV/0!</v>
      </c>
      <c r="AS8" s="202" t="s">
        <v>236</v>
      </c>
      <c r="AT8" s="189"/>
      <c r="AU8" s="222"/>
      <c r="AV8" s="185"/>
      <c r="AW8" s="223"/>
      <c r="AX8" s="205"/>
      <c r="AY8" s="187" t="str">
        <f>IF(BG20=0,"DESC   ???","")</f>
        <v/>
      </c>
      <c r="AZ8" s="206"/>
      <c r="BA8" s="224"/>
      <c r="BB8" s="1" t="s">
        <v>10</v>
      </c>
      <c r="BC8" s="39" t="e">
        <f>SUM(BC3:BC7)</f>
        <v>#DIV/0!</v>
      </c>
      <c r="BD8" s="40" t="b">
        <f>IF(H25="M",1)</f>
        <v>0</v>
      </c>
      <c r="BE8" s="37">
        <f>IF(G7="S",1,0)</f>
        <v>0</v>
      </c>
      <c r="BF8" s="37" t="s">
        <v>170</v>
      </c>
      <c r="BG8" s="37" t="b">
        <f>NOT(SUM(BG2:BG7)&gt;=1)</f>
        <v>1</v>
      </c>
      <c r="BH8" s="37">
        <f>IF(BF13=0,0,IF(BF22=0,0,1))</f>
        <v>0</v>
      </c>
      <c r="BI8" s="72" t="str">
        <f>IF(BD12+BE14+BH12+BD2+BD3+BD4+BD8+BD7+BF13+BH13-BH18-BH20=5,"s/Fn.","")</f>
        <v/>
      </c>
      <c r="BJ8" s="47">
        <f>((1+(B16*B12))/((1-B14-B15)*(1-B16)))</f>
        <v>1</v>
      </c>
      <c r="BK8" s="49" t="s">
        <v>170</v>
      </c>
      <c r="BL8" s="37">
        <f>IF(AY12&gt;0,0,1)</f>
        <v>1</v>
      </c>
      <c r="BM8" s="37">
        <f>IF(G21="S",1,0)</f>
        <v>0</v>
      </c>
      <c r="BN8" s="37" t="s">
        <v>170</v>
      </c>
      <c r="BO8" s="37">
        <f>IF(H21="S",1,0)</f>
        <v>0</v>
      </c>
      <c r="BP8" s="37">
        <f>IF(G17="LP",1,0)</f>
        <v>0</v>
      </c>
      <c r="BQ8" s="37" t="e">
        <f>BM6=0</f>
        <v>#DIV/0!</v>
      </c>
      <c r="BR8" s="37" t="e">
        <f>(((R9+BA14)*R12)-AG10)*BF7*BD12*BF18*-1</f>
        <v>#DIV/0!</v>
      </c>
      <c r="BS8" s="2" t="s">
        <v>11</v>
      </c>
      <c r="BT8" s="64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</row>
    <row r="9" spans="1:90" ht="8.25" customHeight="1" x14ac:dyDescent="0.15">
      <c r="A9" s="112" t="s">
        <v>53</v>
      </c>
      <c r="B9" s="236"/>
      <c r="C9" s="236"/>
      <c r="D9" s="236"/>
      <c r="E9" s="236"/>
      <c r="F9" s="236"/>
      <c r="G9" s="237" t="s">
        <v>190</v>
      </c>
      <c r="H9" s="238" t="s">
        <v>54</v>
      </c>
      <c r="I9" s="239" t="str">
        <f>IF(BE18=1,"I I s/ C(I)F     ESTIMADO","I I s/ C(I)F            PAGO")</f>
        <v>I I s/ C(I)F     ESTIMADO</v>
      </c>
      <c r="J9" s="172" t="s">
        <v>20</v>
      </c>
      <c r="K9" s="240" t="e">
        <f>O12/(O11+BF21)-1</f>
        <v>#DIV/0!</v>
      </c>
      <c r="L9" s="241" t="s">
        <v>55</v>
      </c>
      <c r="M9" s="242" t="s">
        <v>133</v>
      </c>
      <c r="N9" s="113" t="str">
        <f>IF(G4="US","ESTIMADO  US",IF(G4="$S","ESTIMADO  $S",IF(G4="FS","ESTIMADO  FS",IF(G4="YJ","ESTIMADO  YJ",IF(G4="EP","ESTIMADO  EP",IF(G4="$O","ESTIMADO  $O",IF(G4="YC","ESTIMADO  YC",IF(G4="EU","ESTIMADO  EU"))))))))</f>
        <v>ESTIMADO  EU</v>
      </c>
      <c r="O9" s="243" t="str">
        <f>IF((BD2+BD3)*BE18=1,"ESTIMADO","EFETIVO")</f>
        <v>ESTIMADO</v>
      </c>
      <c r="P9" s="112" t="str">
        <f>IF(BH11=0,"CUSTO TOTAL R$","RECEITA TOTAL")</f>
        <v>RECEITA TOTAL</v>
      </c>
      <c r="Q9" s="113" t="s">
        <v>20</v>
      </c>
      <c r="R9" s="244" t="e">
        <f>IF(BH11=1,N20/(1-R7),N20+SUM(Y15:Y20))</f>
        <v>#DIV/0!</v>
      </c>
      <c r="S9" s="118"/>
      <c r="T9" s="125" t="s">
        <v>147</v>
      </c>
      <c r="U9" s="153" t="s">
        <v>20</v>
      </c>
      <c r="V9" s="232" t="e">
        <f>IF(BD2*BL4=1,(SUM(AH8:AH12))/(AH5+AH6+AH7+(AH13*BE24)),((SUM(AG8:AG12))/(AG5+AG6+AG7+(AG13*BE24))*BF13)+((SUM(AH8:AH12))/(AH5+AH6+AH7+(AH13*BE24))*BD7*BF17))</f>
        <v>#DIV/0!</v>
      </c>
      <c r="W9" s="233" t="s">
        <v>212</v>
      </c>
      <c r="X9" s="195" t="s">
        <v>20</v>
      </c>
      <c r="Y9" s="245" t="e">
        <f>R9/(1+R11)*R12*BE14*BF20*BH11</f>
        <v>#DIV/0!</v>
      </c>
      <c r="Z9" s="246"/>
      <c r="AA9" s="247"/>
      <c r="AB9" s="234" t="s">
        <v>93</v>
      </c>
      <c r="AC9" s="248" t="e">
        <f>(((V14/(1+R11)*R12)-AG10)*BF18*BE14*(BD3*(BD7+BD8)*BQ8))+(((V14/(1+R11)*R12*(1+AZ14))-AG10)*BF18*BE14*(BD4*(BD7+BD8)*BQ8))</f>
        <v>#DIV/0!</v>
      </c>
      <c r="AD9" s="249">
        <f>IF((BD3+BD4)*BD8=1,(((R9/(1+R11)*R12)-AG10)*BF18*BE14*(BD3*(BD7+BD8)*BQ8))+(((R9/(1+R11)*R12*(1+AZ14))-AG10)*BF18*BE14*(BD4*(BD7+BD8)*BQ8)),0)</f>
        <v>0</v>
      </c>
      <c r="AE9" s="201" t="s">
        <v>222</v>
      </c>
      <c r="AF9" s="176"/>
      <c r="AG9" s="177" t="e">
        <f t="shared" si="0"/>
        <v>#DIV/0!</v>
      </c>
      <c r="AH9" s="164" t="e">
        <f>(N13-N12)*K14</f>
        <v>#DIV/0!</v>
      </c>
      <c r="AI9" s="179" t="e">
        <f>(AG9-AH9)*BF13</f>
        <v>#DIV/0!</v>
      </c>
      <c r="AJ9" s="180" t="e">
        <f>AI9/(AH9+BF21)</f>
        <v>#DIV/0!</v>
      </c>
      <c r="AK9" s="181" t="s">
        <v>38</v>
      </c>
      <c r="AL9" s="182" t="str">
        <f>F6</f>
        <v>EE</v>
      </c>
      <c r="AM9" s="179">
        <f>IF(BL8+BH13=0,0,F11)</f>
        <v>0</v>
      </c>
      <c r="AN9" s="179" t="e">
        <f>IF(BL8+BH13=0,0,F25)</f>
        <v>#DIV/0!</v>
      </c>
      <c r="AO9" s="179" t="e">
        <f>AN9/(1+B17)*BH11</f>
        <v>#DIV/0!</v>
      </c>
      <c r="AP9" s="183">
        <f>IF(BL8+BH13=0,0,F7)</f>
        <v>0</v>
      </c>
      <c r="AQ9" s="179">
        <f>AM9*AP9</f>
        <v>0</v>
      </c>
      <c r="AR9" s="179" t="e">
        <f>AN9*AP9</f>
        <v>#DIV/0!</v>
      </c>
      <c r="AS9" s="202" t="s">
        <v>237</v>
      </c>
      <c r="AT9" s="189"/>
      <c r="AU9" s="222"/>
      <c r="AV9" s="185"/>
      <c r="AW9" s="223"/>
      <c r="AX9" s="205"/>
      <c r="AY9" s="250" t="str">
        <f>IF(BG7+BF25+BN22=1,"QUANT ???",IF(BG17=BG18,"QUANT ???"," "))</f>
        <v>QUANT ???</v>
      </c>
      <c r="AZ9" s="206"/>
      <c r="BA9" s="224"/>
      <c r="BB9" s="1" t="s">
        <v>10</v>
      </c>
      <c r="BC9" s="36" t="e">
        <f>((B24*B7*1)+(C24*C7)+(D24*D7)+(E24*E7)+(F24*F7))+(AY12*BG7*BF14*BD4)</f>
        <v>#DIV/0!</v>
      </c>
      <c r="BD9" s="37">
        <f>IF(G24="??=&gt;",0,1)</f>
        <v>1</v>
      </c>
      <c r="BE9" s="37">
        <f>IF(G8="S",1,0)</f>
        <v>0</v>
      </c>
      <c r="BF9" s="37" t="e">
        <f>BF10=0</f>
        <v>#DIV/0!</v>
      </c>
      <c r="BG9" s="37" t="b">
        <f>NOT((SUM(AX6:AX11)+AY12)=0)</f>
        <v>0</v>
      </c>
      <c r="BH9" s="37">
        <f>IF(BD4=0,1,IF(BG7=0,1,0))</f>
        <v>1</v>
      </c>
      <c r="BI9" s="72" t="str">
        <f>IF(BD12+BE14+BH12+BD2+BD4+BD3+BD8+BD7+BF13+BF22-BI12=5,"s/Fn.","")</f>
        <v/>
      </c>
      <c r="BJ9" s="47">
        <f>((1+(C16*C12))/((1-C14-C15)*(1-C16)))</f>
        <v>1</v>
      </c>
      <c r="BK9" s="49" t="s">
        <v>170</v>
      </c>
      <c r="BL9" s="37" t="s">
        <v>170</v>
      </c>
      <c r="BM9" s="37">
        <f>IF(G21="N",1,0)</f>
        <v>1</v>
      </c>
      <c r="BN9" s="37" t="s">
        <v>170</v>
      </c>
      <c r="BO9" s="37">
        <f>IF(H21="N",1,0)</f>
        <v>1</v>
      </c>
      <c r="BP9" s="37">
        <f>IF(G17="LR",1,0)</f>
        <v>1</v>
      </c>
      <c r="BQ9" s="37" t="e">
        <f>BO3=0</f>
        <v>#DIV/0!</v>
      </c>
      <c r="BR9" s="37" t="e">
        <f>(((R9+BA14)/(1+R11)*R12)-AG10)*BF9*BE14*BF18*-1</f>
        <v>#DIV/0!</v>
      </c>
      <c r="BS9" s="2" t="s">
        <v>11</v>
      </c>
      <c r="BT9" s="64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</row>
    <row r="10" spans="1:90" ht="8.25" customHeight="1" x14ac:dyDescent="0.15">
      <c r="A10" s="112" t="s">
        <v>227</v>
      </c>
      <c r="B10" s="225"/>
      <c r="C10" s="225"/>
      <c r="D10" s="225"/>
      <c r="E10" s="225"/>
      <c r="F10" s="225"/>
      <c r="G10" s="251">
        <v>0</v>
      </c>
      <c r="H10" s="252" t="s">
        <v>23</v>
      </c>
      <c r="I10" s="239" t="str">
        <f>IF(BE18=1,"IPI s/ I I        ESTIMADO","IPI s/ I I               PAGO")</f>
        <v>IPI s/ I I        ESTIMADO</v>
      </c>
      <c r="J10" s="172" t="s">
        <v>20</v>
      </c>
      <c r="K10" s="240" t="e">
        <f>O13/(O12+BF21)-1</f>
        <v>#DIV/0!</v>
      </c>
      <c r="L10" s="241" t="s">
        <v>55</v>
      </c>
      <c r="M10" s="89" t="s">
        <v>57</v>
      </c>
      <c r="N10" s="164">
        <f>K5+((K7*K6*BE16)+(K8*K6*BE17))</f>
        <v>0</v>
      </c>
      <c r="O10" s="179">
        <f>(IF(N8="S",N10,N10*K14)*BE18)+(IF(N8="N",SUM(AG5:AG7),(SUM(AG5:AG7))/K14)*BF13)</f>
        <v>0</v>
      </c>
      <c r="P10" s="112" t="s">
        <v>58</v>
      </c>
      <c r="Q10" s="113" t="s">
        <v>20</v>
      </c>
      <c r="R10" s="253">
        <f>H6</f>
        <v>0</v>
      </c>
      <c r="S10" s="49">
        <f>G6</f>
        <v>0</v>
      </c>
      <c r="T10" s="125" t="s">
        <v>56</v>
      </c>
      <c r="U10" s="153" t="s">
        <v>20</v>
      </c>
      <c r="V10" s="232" t="e">
        <f>IF(BD2*BL4=1,AH9/(AH5+AH6+AH7+(AH13*BE24)),(AG9/(AG5+AG6+AG7+(AG13*BE24))*BF13)+(AH9/(AH5+AH6+AH7+(AH13*BE24))*BD7*BF17))</f>
        <v>#DIV/0!</v>
      </c>
      <c r="W10" s="214" t="s">
        <v>211</v>
      </c>
      <c r="X10" s="215" t="s">
        <v>20</v>
      </c>
      <c r="Y10" s="216" t="e">
        <f>((N16-N15)*R5*BF20)</f>
        <v>#DIV/0!</v>
      </c>
      <c r="Z10" s="254" t="s">
        <v>20</v>
      </c>
      <c r="AA10" s="218" t="e">
        <f>((Y8-Y10)*BF6)+((Y9-Y10)*BF10)+((Y8-Y10)*BF7*BE13*BD12)+((Y9-Y10)*BF9*BE13*BE14)</f>
        <v>#DIV/0!</v>
      </c>
      <c r="AB10" s="220"/>
      <c r="AC10" s="220"/>
      <c r="AD10" s="221"/>
      <c r="AE10" s="201" t="s">
        <v>220</v>
      </c>
      <c r="AF10" s="176"/>
      <c r="AG10" s="177" t="e">
        <f t="shared" si="0"/>
        <v>#DIV/0!</v>
      </c>
      <c r="AH10" s="164" t="e">
        <f>(N16-N15)*K14</f>
        <v>#DIV/0!</v>
      </c>
      <c r="AI10" s="179" t="e">
        <f>(AG10-AH10)*BF13</f>
        <v>#DIV/0!</v>
      </c>
      <c r="AJ10" s="180" t="e">
        <f>AI10/(AH10+BF21)</f>
        <v>#DIV/0!</v>
      </c>
      <c r="AK10" s="255" t="str">
        <f>IF(AM3="???"," AJUSTAR EM Q-1, Q-5 E/OU Q-7",IF(BD3+BL8+BD15+BH13=1,"  VENDA POR VALOR GLOBAL !!!, ACIONAR FASE 3 OU VEJA Q-7",IF(AX6+AX7+AX8+AX9+AX10+AX11+BL11=(1*BL8+BH13),"  SEM PARÂMETROS CONCLUSIVOS EM Q-7 !!!",IF(AX6+AW7+AW8+AW9+AW10+AW11+BL11=(1*BL8+BH13),"  SEM PARÂMETROS CONCLUSIVOS EM Q-7 !!!"," "))))</f>
        <v xml:space="preserve"> </v>
      </c>
      <c r="AL10" s="138"/>
      <c r="AM10" s="138"/>
      <c r="AN10" s="138"/>
      <c r="AO10" s="138"/>
      <c r="AP10" s="256" t="s">
        <v>34</v>
      </c>
      <c r="AQ10" s="257">
        <f>IF(BD4*BG7=1,K5,SUM(AQ5:AQ9))</f>
        <v>0</v>
      </c>
      <c r="AR10" s="257" t="e">
        <f>IF(BD4*BG7=1,AY12,SUM(AR5:AR9))</f>
        <v>#DIV/0!</v>
      </c>
      <c r="AS10" s="202" t="s">
        <v>238</v>
      </c>
      <c r="AT10" s="189"/>
      <c r="AU10" s="222"/>
      <c r="AV10" s="185"/>
      <c r="AW10" s="223"/>
      <c r="AX10" s="205"/>
      <c r="AY10" s="250" t="str">
        <f>IF(BF13=1," ",IF(BF22=0," ","Q-5       ???"))</f>
        <v xml:space="preserve"> </v>
      </c>
      <c r="AZ10" s="206"/>
      <c r="BA10" s="224"/>
      <c r="BB10" s="1" t="s">
        <v>10</v>
      </c>
      <c r="BC10" s="41" t="e">
        <f>((B25-B24)*B7)/(BC9+BF21)+(B7*B8*B17/K5*BG7*BF14*BD4)</f>
        <v>#DIV/0!</v>
      </c>
      <c r="BD10" s="37">
        <f>IF(BD2=1,0,IF(BD3=1,0,1))</f>
        <v>0</v>
      </c>
      <c r="BE10" s="37">
        <f>IF(G10&gt;0,1,0)</f>
        <v>0</v>
      </c>
      <c r="BF10" s="37" t="e">
        <f>Y10&lt;=Y9</f>
        <v>#DIV/0!</v>
      </c>
      <c r="BG10" s="37" t="s">
        <v>170</v>
      </c>
      <c r="BH10" s="37" t="s">
        <v>170</v>
      </c>
      <c r="BI10" s="76" t="str">
        <f>IF(BD12+BE14+BH12+BD2+BD3+BD4+BD8+BD7+BE18+BF22-BI16-BI17-BI18=5,"s/Fn.","")</f>
        <v/>
      </c>
      <c r="BJ10" s="47">
        <f>((1+(D16*D12))/((1-D14-D15)*(1-D16)))</f>
        <v>1</v>
      </c>
      <c r="BK10" s="49" t="s">
        <v>170</v>
      </c>
      <c r="BL10" s="37" t="s">
        <v>170</v>
      </c>
      <c r="BM10" s="37">
        <f>IF(G21="IPI",1,0)</f>
        <v>0</v>
      </c>
      <c r="BN10" s="37" t="s">
        <v>170</v>
      </c>
      <c r="BO10" s="37">
        <f>IF(H21="PIS",1,0)</f>
        <v>0</v>
      </c>
      <c r="BP10" s="37">
        <f>IF(D19&gt;0,1,0)</f>
        <v>0</v>
      </c>
      <c r="BQ10" s="37" t="e">
        <f>BO6=0</f>
        <v>#DIV/0!</v>
      </c>
      <c r="BR10" s="37" t="e">
        <f>(((R9+BA14)*(1-R11)*R13)-AG11)*BK7*BK14*BF18*-1</f>
        <v>#DIV/0!</v>
      </c>
      <c r="BS10" s="2" t="s">
        <v>11</v>
      </c>
      <c r="BT10" s="64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</row>
    <row r="11" spans="1:90" ht="8.25" customHeight="1" x14ac:dyDescent="0.15">
      <c r="A11" s="112" t="s">
        <v>141</v>
      </c>
      <c r="B11" s="258">
        <f>(B8*(1-B9))+B10</f>
        <v>0</v>
      </c>
      <c r="C11" s="258">
        <f>(C8*(1-C9))+C10</f>
        <v>0</v>
      </c>
      <c r="D11" s="258">
        <f>(D8*(1-D9))+D10</f>
        <v>0</v>
      </c>
      <c r="E11" s="258">
        <f>(E8*(1-E9))+E10</f>
        <v>0</v>
      </c>
      <c r="F11" s="259">
        <f>(F8*(1-F9))+F10</f>
        <v>0</v>
      </c>
      <c r="G11" s="260" t="s">
        <v>144</v>
      </c>
      <c r="H11" s="261" t="s">
        <v>60</v>
      </c>
      <c r="I11" s="239" t="str">
        <f>IF(BE18=1,"PIS s/ IPI     ESTIMADO","PIS s/ IPI            PAGO")</f>
        <v>PIS s/ IPI     ESTIMADO</v>
      </c>
      <c r="J11" s="172" t="s">
        <v>20</v>
      </c>
      <c r="K11" s="240" t="e">
        <f>(O14/(O13+BF21))-1</f>
        <v>#DIV/0!</v>
      </c>
      <c r="L11" s="241" t="s">
        <v>55</v>
      </c>
      <c r="M11" s="89" t="str">
        <f>IF(G10=0,"sem Função  =&gt;&gt;",IF(BE24=0,"sem Função  =&gt;&gt;","C+I+F"))</f>
        <v>sem Função  =&gt;&gt;</v>
      </c>
      <c r="N11" s="164">
        <f>(N10+((N10*G10*BE10*BE24)))</f>
        <v>0</v>
      </c>
      <c r="O11" s="179" t="e">
        <f>(IF(N8="S",N11,N11*K14)*BE18)+(IF(N8="N",SUM(AG5:AG7)+(AG13*BE24),(SUM(AG5:AG7)+(AG13*BE24))/K14)*BF13)</f>
        <v>#DIV/0!</v>
      </c>
      <c r="P11" s="112" t="s">
        <v>203</v>
      </c>
      <c r="Q11" s="113" t="s">
        <v>20</v>
      </c>
      <c r="R11" s="262" t="e">
        <f>BC15*BH11</f>
        <v>#DIV/0!</v>
      </c>
      <c r="S11" s="45" t="s">
        <v>55</v>
      </c>
      <c r="T11" s="125" t="s">
        <v>59</v>
      </c>
      <c r="U11" s="153" t="s">
        <v>20</v>
      </c>
      <c r="V11" s="232" t="e">
        <f>IF(BD2*BL4=1,AH10/(AH5+AH6+AH7+(AH13*BE24)),(AG10/(AG5+AG6+AG7+(AG13*BE24))*BF13)+(AH10/(AH5+AH6+AH7+(AH13*BE24))*BD7*BF17))</f>
        <v>#DIV/0!</v>
      </c>
      <c r="W11" s="233" t="s">
        <v>239</v>
      </c>
      <c r="X11" s="195" t="s">
        <v>20</v>
      </c>
      <c r="Y11" s="196" t="e">
        <f>R9*C26*BF20/(1+R11)*BH11</f>
        <v>#DIV/0!</v>
      </c>
      <c r="Z11" s="197" t="s">
        <v>131</v>
      </c>
      <c r="AA11" s="173" t="e">
        <f>IF(BO3*BH11=0," ","CRÉDITO FUTURO !!!")</f>
        <v>#DIV/0!</v>
      </c>
      <c r="AB11" s="234" t="s">
        <v>93</v>
      </c>
      <c r="AC11" s="248" t="e">
        <f>(((V14/(1+R11)*R13)-(AG11*BK7))*BF18*(BD3*(BD7+BD8)*BQ9))+(((V14/(1+R11)*R13*(1+AZ14))-(AG11*BK7))*BF18*(BD4*(BD7+BD8)*BQ9))</f>
        <v>#DIV/0!</v>
      </c>
      <c r="AD11" s="200">
        <f>IF((BD3+BD4)*BD8=1,(((R9/(1+R11)*R13)-(AG11*BK7))*BF18*(BD3*(BD7+BD8)*BQ9))+(((R9/(1+R11)*R13*(1+AZ14))-(AG11*BK7))*BF18*(BD4*(BD7+BD8)*BQ9)),0)</f>
        <v>0</v>
      </c>
      <c r="AE11" s="201" t="s">
        <v>223</v>
      </c>
      <c r="AF11" s="176"/>
      <c r="AG11" s="177" t="e">
        <f t="shared" si="0"/>
        <v>#DIV/0!</v>
      </c>
      <c r="AH11" s="164" t="e">
        <f>(N14-N13)*K14</f>
        <v>#DIV/0!</v>
      </c>
      <c r="AI11" s="179" t="e">
        <f>(AG11-AH11)*BF13</f>
        <v>#DIV/0!</v>
      </c>
      <c r="AJ11" s="180" t="e">
        <f>AI11/(AH11+BF21)</f>
        <v>#DIV/0!</v>
      </c>
      <c r="AK11" s="91"/>
      <c r="AL11" s="263"/>
      <c r="AM11" s="263"/>
      <c r="AN11" s="263"/>
      <c r="AO11" s="263"/>
      <c r="AP11" s="91"/>
      <c r="AQ11" s="91"/>
      <c r="AR11" s="100"/>
      <c r="AS11" s="202" t="s">
        <v>240</v>
      </c>
      <c r="AT11" s="189"/>
      <c r="AU11" s="222"/>
      <c r="AV11" s="185"/>
      <c r="AW11" s="223"/>
      <c r="AX11" s="205"/>
      <c r="AY11" s="264" t="str">
        <f>IF(BD4+BD8+BG7=3,"    ALTERAR EM H25 PARA ´´P´´ !"," ")</f>
        <v xml:space="preserve"> </v>
      </c>
      <c r="AZ11" s="206"/>
      <c r="BA11" s="224"/>
      <c r="BB11" s="1" t="s">
        <v>10</v>
      </c>
      <c r="BC11" s="41" t="e">
        <f>((C25-C24)*C7)/(BC9+BF21)+(C7*C8*C17/K5*BG7*BF14*BD4)</f>
        <v>#DIV/0!</v>
      </c>
      <c r="BD11" s="37" t="s">
        <v>170</v>
      </c>
      <c r="BE11" s="37">
        <f>IF(H4="S",1,0)</f>
        <v>1</v>
      </c>
      <c r="BF11" s="37" t="s">
        <v>170</v>
      </c>
      <c r="BG11" s="37" t="b">
        <f>OR(BF25=BG8,BG22&lt;&gt;BG8)</f>
        <v>1</v>
      </c>
      <c r="BH11" s="37">
        <f>IF(G16="D",0,1)</f>
        <v>1</v>
      </c>
      <c r="BI11" s="37">
        <f>IF(BH12+BD2+BD3+BD8+BF13+BH13=5,1,0)</f>
        <v>0</v>
      </c>
      <c r="BJ11" s="47">
        <f>((1+(E16*E12))/((1-E14-E15)*(1-E16)))</f>
        <v>1</v>
      </c>
      <c r="BK11" s="49" t="s">
        <v>170</v>
      </c>
      <c r="BL11" s="37">
        <f>IF(AM3="FASE 3",1,0)</f>
        <v>0</v>
      </c>
      <c r="BM11" s="37">
        <f>IF(G21="ICMS",1,0)</f>
        <v>0</v>
      </c>
      <c r="BN11" s="37" t="s">
        <v>170</v>
      </c>
      <c r="BO11" s="37">
        <f>IF(H21="COF",1,0)</f>
        <v>0</v>
      </c>
      <c r="BP11" s="37">
        <f>IF(F19&gt;0,1,0)</f>
        <v>0</v>
      </c>
      <c r="BQ11" s="37" t="e">
        <f>BM2=0</f>
        <v>#DIV/0!</v>
      </c>
      <c r="BR11" s="37" t="e">
        <f>(((R9+BA14)*(1-R11)*R14)-AG12)*BK7*BK17*BF18*-1</f>
        <v>#DIV/0!</v>
      </c>
      <c r="BS11" s="2" t="s">
        <v>11</v>
      </c>
      <c r="BT11" s="64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</row>
    <row r="12" spans="1:90" s="57" customFormat="1" ht="8.25" customHeight="1" x14ac:dyDescent="0.15">
      <c r="A12" s="265" t="s">
        <v>196</v>
      </c>
      <c r="B12" s="236"/>
      <c r="C12" s="236"/>
      <c r="D12" s="236"/>
      <c r="E12" s="236"/>
      <c r="F12" s="236"/>
      <c r="G12" s="266">
        <v>0</v>
      </c>
      <c r="H12" s="267">
        <v>0</v>
      </c>
      <c r="I12" s="268" t="str">
        <f>IF(BE18=1,"COFINS s/ PIS    ESTIM","COFINS s/ PIS    PAGO")</f>
        <v>COFINS s/ PIS    ESTIM</v>
      </c>
      <c r="J12" s="269" t="s">
        <v>20</v>
      </c>
      <c r="K12" s="270" t="e">
        <f>(O15/(O14+BF22))-1</f>
        <v>#DIV/0!</v>
      </c>
      <c r="L12" s="271" t="s">
        <v>55</v>
      </c>
      <c r="M12" s="272" t="s">
        <v>197</v>
      </c>
      <c r="N12" s="273" t="e">
        <f>((N11*B12*BC3)+(N11*C12*BC4)+(N11*D12*BC5)+(N11*E12*BC6)+(N11*F12*BC7))+N11</f>
        <v>#DIV/0!</v>
      </c>
      <c r="O12" s="179" t="e">
        <f>(IF(N8="S",N12,N12*K14)*BE18)+(IF(N8="N",SUM(AG5:AG8)+(AG13*BE24),(SUM(AG5:AG8)+(AG13*BE24))/K14)*BF13)</f>
        <v>#DIV/0!</v>
      </c>
      <c r="P12" s="274" t="s">
        <v>204</v>
      </c>
      <c r="Q12" s="275" t="s">
        <v>20</v>
      </c>
      <c r="R12" s="276" t="e">
        <f>BC22*BH11</f>
        <v>#DIV/0!</v>
      </c>
      <c r="S12" s="63" t="s">
        <v>55</v>
      </c>
      <c r="T12" s="125" t="s">
        <v>156</v>
      </c>
      <c r="U12" s="153" t="s">
        <v>20</v>
      </c>
      <c r="V12" s="232" t="e">
        <f>IF(BD2*BL4=1,(AH11+AH12)/(AH5+AH6+AH7+(AH13*BE24)),((AG11+AG12)/(AG5+AG6+AG7+(AG13*BE24))*BF13)+((AH11+AH12)/(AH5+AH6+AH7+(AH13*BE24))*BD7*BF17))</f>
        <v>#DIV/0!</v>
      </c>
      <c r="W12" s="277" t="str">
        <f>IF(BJ2=1,"PIS IMPORT CUSTO","PIS IMPORT CRÉDITO")</f>
        <v>PIS IMPORT CRÉDITO</v>
      </c>
      <c r="X12" s="215" t="s">
        <v>20</v>
      </c>
      <c r="Y12" s="216" t="e">
        <f>((N14-N13)*R5*BF20)</f>
        <v>#DIV/0!</v>
      </c>
      <c r="Z12" s="215" t="s">
        <v>20</v>
      </c>
      <c r="AA12" s="218" t="e">
        <f>(((Y11-Y12)*BK7*BK13)+((Y11-Y12)*BK7*BK14*BK15)+(Y11*BK23))*BH11</f>
        <v>#DIV/0!</v>
      </c>
      <c r="AB12" s="220"/>
      <c r="AC12" s="220"/>
      <c r="AD12" s="221"/>
      <c r="AE12" s="278" t="s">
        <v>241</v>
      </c>
      <c r="AF12" s="176"/>
      <c r="AG12" s="177" t="e">
        <f t="shared" si="0"/>
        <v>#DIV/0!</v>
      </c>
      <c r="AH12" s="273" t="e">
        <f>(N15-N14)*K14</f>
        <v>#DIV/0!</v>
      </c>
      <c r="AI12" s="279" t="e">
        <f>(AG12-AH12)*BF13</f>
        <v>#DIV/0!</v>
      </c>
      <c r="AJ12" s="280" t="e">
        <f>AI12/(AH12+BF21)</f>
        <v>#DIV/0!</v>
      </c>
      <c r="AK12" s="281" t="s">
        <v>119</v>
      </c>
      <c r="AL12" s="139"/>
      <c r="AM12" s="139"/>
      <c r="AN12" s="139"/>
      <c r="AO12" s="139"/>
      <c r="AP12" s="189"/>
      <c r="AQ12" s="282" t="str">
        <f>IF(H25="M","MARGEM",IF(H25="P","PREÇO"))</f>
        <v>PREÇO</v>
      </c>
      <c r="AR12" s="139"/>
      <c r="AS12" s="283" t="s">
        <v>242</v>
      </c>
      <c r="AT12" s="91"/>
      <c r="AU12" s="284"/>
      <c r="AV12" s="263"/>
      <c r="AW12" s="285" t="s">
        <v>69</v>
      </c>
      <c r="AX12" s="285" t="s">
        <v>86</v>
      </c>
      <c r="AY12" s="286"/>
      <c r="AZ12" s="240" t="e">
        <f>BA12/(AV15+BF21)*BF20*BF14</f>
        <v>#DIV/0!</v>
      </c>
      <c r="BA12" s="287" t="e">
        <f>(AY12-AV15)*BG7*BF20*BF14</f>
        <v>#DIV/0!</v>
      </c>
      <c r="BB12" s="50" t="s">
        <v>10</v>
      </c>
      <c r="BC12" s="51" t="e">
        <f>((D25-D24)*D7)/(BC9+BF21)+(D7*D8*D17/K5*BG7*BF14*BD4)</f>
        <v>#DIV/0!</v>
      </c>
      <c r="BD12" s="52">
        <f>IF(G16="C",1,0)</f>
        <v>1</v>
      </c>
      <c r="BE12" s="52" t="b">
        <f>OR(G21="IPI",G21="N")</f>
        <v>1</v>
      </c>
      <c r="BF12" s="52" t="s">
        <v>170</v>
      </c>
      <c r="BG12" s="52" t="b">
        <f>BG2=0</f>
        <v>1</v>
      </c>
      <c r="BH12" s="52" t="b">
        <f>IF(BH11=0,1)</f>
        <v>0</v>
      </c>
      <c r="BI12" s="52">
        <f>IF(BH25="OK!",1,0)</f>
        <v>0</v>
      </c>
      <c r="BJ12" s="53">
        <f>((1+(B16*B12))/((1-B14-B15)*(1-B16)))</f>
        <v>1</v>
      </c>
      <c r="BK12" s="54" t="s">
        <v>170</v>
      </c>
      <c r="BL12" s="37" t="s">
        <v>170</v>
      </c>
      <c r="BM12" s="70" t="e">
        <f>IF((BM4+BM7+BM8)*BH11=3,"                s/Fn."," ")</f>
        <v>#DIV/0!</v>
      </c>
      <c r="BN12" s="37" t="s">
        <v>170</v>
      </c>
      <c r="BO12" s="70" t="e">
        <f>IF((BO4+BO7+BO8+BP9)*BH11=4,"                   s/Fn."," ")</f>
        <v>#DIV/0!</v>
      </c>
      <c r="BP12" s="37" t="e">
        <f>IF(O24=0,0)</f>
        <v>#DIV/0!</v>
      </c>
      <c r="BQ12" s="37" t="e">
        <f>BM5=0</f>
        <v>#DIV/0!</v>
      </c>
      <c r="BR12" s="37" t="e">
        <f>IF(AA7&lt;0,0,1)</f>
        <v>#DIV/0!</v>
      </c>
      <c r="BS12" s="55" t="s">
        <v>11</v>
      </c>
      <c r="BT12" s="65"/>
      <c r="BU12" s="56"/>
      <c r="BV12" s="56"/>
      <c r="BW12" s="56"/>
      <c r="BX12" s="56"/>
      <c r="BY12" s="56"/>
      <c r="BZ12" s="56"/>
      <c r="CA12" s="56"/>
      <c r="CB12" s="56"/>
      <c r="CC12" s="56"/>
      <c r="CD12" s="56"/>
      <c r="CE12" s="56"/>
      <c r="CF12" s="56"/>
      <c r="CG12" s="56"/>
      <c r="CH12" s="56"/>
      <c r="CI12" s="56"/>
      <c r="CJ12" s="56"/>
      <c r="CK12" s="56"/>
      <c r="CL12" s="56"/>
    </row>
    <row r="13" spans="1:90" s="57" customFormat="1" ht="8.25" customHeight="1" x14ac:dyDescent="0.15">
      <c r="A13" s="265" t="s">
        <v>195</v>
      </c>
      <c r="B13" s="236"/>
      <c r="C13" s="236"/>
      <c r="D13" s="236"/>
      <c r="E13" s="236"/>
      <c r="F13" s="236"/>
      <c r="G13" s="288" t="str">
        <f>IF(BD24+BC24+BC25=0," REDUZ DIAS !!!","  PRAZO DSBR")</f>
        <v xml:space="preserve">  PRAZO DSBR</v>
      </c>
      <c r="H13" s="289"/>
      <c r="I13" s="268" t="str">
        <f>IF(BE18=1,"ICMS s/ COFINS ESTIM","ICMS s/ COFINS PAGO")</f>
        <v>ICMS s/ COFINS ESTIM</v>
      </c>
      <c r="J13" s="269" t="s">
        <v>20</v>
      </c>
      <c r="K13" s="270" t="e">
        <f>1-(O15/(O16+BF21))</f>
        <v>#DIV/0!</v>
      </c>
      <c r="L13" s="271" t="s">
        <v>55</v>
      </c>
      <c r="M13" s="272" t="s">
        <v>198</v>
      </c>
      <c r="N13" s="273" t="e">
        <f>((N12*B13*BC3)+(N12*C13*BC4)+(N12*D13*BC5)+(N12*E13*BC6)+(N12*F13*BC7))+N12</f>
        <v>#DIV/0!</v>
      </c>
      <c r="O13" s="279" t="e">
        <f>(IF(N8="S",N13,N13*K14)*BE18)+(IF(N8="N",SUM(AG5:AG9)+(AG13*BE24),(SUM(AG5:AG9)+(AG13*BE24))/K14)*BF13)</f>
        <v>#DIV/0!</v>
      </c>
      <c r="P13" s="290" t="s">
        <v>205</v>
      </c>
      <c r="Q13" s="275" t="s">
        <v>20</v>
      </c>
      <c r="R13" s="262">
        <f>C26</f>
        <v>1.6500000000000001E-2</v>
      </c>
      <c r="S13" s="63" t="s">
        <v>55</v>
      </c>
      <c r="T13" s="291" t="s">
        <v>207</v>
      </c>
      <c r="U13" s="292" t="s">
        <v>20</v>
      </c>
      <c r="V13" s="279" t="e">
        <f>IF(BD2*BL4=1,N20,(O20*BD8)+(AG24*BD7*BF13)+(AH24*BD7*BF17))</f>
        <v>#DIV/0!</v>
      </c>
      <c r="W13" s="233" t="s">
        <v>243</v>
      </c>
      <c r="X13" s="195" t="s">
        <v>20</v>
      </c>
      <c r="Y13" s="196" t="e">
        <f>R9*F26*BF20/(1+R11)*BH11</f>
        <v>#DIV/0!</v>
      </c>
      <c r="Z13" s="197" t="s">
        <v>131</v>
      </c>
      <c r="AA13" s="173" t="e">
        <f>IF(BO6*BH11=0," ","CRÉDITO FUTURO !!!")</f>
        <v>#DIV/0!</v>
      </c>
      <c r="AB13" s="234" t="s">
        <v>93</v>
      </c>
      <c r="AC13" s="248" t="e">
        <f>(((V14/(1+R11)*R14)-(AG12*BK7))*BF18*(BD3*(BD7+BD8)*BQ10))+(((V14/(1+R11)*R14*(1+AZ14))-(AG12*BK7))*BF18*(BD4*(BD7+BD8)*BQ10))</f>
        <v>#DIV/0!</v>
      </c>
      <c r="AD13" s="293">
        <f>IF((BD3+BD4)*BD8=1,(((R9/(1+R11)*R14)-(AG12*BK7))*BF18*(BD3*(BD7+BD8)*BQ10))+(((R9/(1+R11)*R14*(1+AZ14))-(AG12*BK7))*BF18*(BD4*(BD7+BD8)*BQ10)),0)</f>
        <v>0</v>
      </c>
      <c r="AE13" s="278" t="s">
        <v>61</v>
      </c>
      <c r="AF13" s="176"/>
      <c r="AG13" s="177" t="e">
        <f t="shared" si="0"/>
        <v>#DIV/0!</v>
      </c>
      <c r="AH13" s="273" t="e">
        <f>K19</f>
        <v>#DIV/0!</v>
      </c>
      <c r="AI13" s="279" t="e">
        <f>(AG13-AH13)*BF13</f>
        <v>#DIV/0!</v>
      </c>
      <c r="AJ13" s="294" t="e">
        <f>AI13/(AH13+BF21)</f>
        <v>#DIV/0!</v>
      </c>
      <c r="AK13" s="285" t="s">
        <v>109</v>
      </c>
      <c r="AL13" s="285" t="s">
        <v>62</v>
      </c>
      <c r="AM13" s="285" t="s">
        <v>64</v>
      </c>
      <c r="AN13" s="285" t="s">
        <v>67</v>
      </c>
      <c r="AO13" s="285" t="s">
        <v>114</v>
      </c>
      <c r="AP13" s="285" t="s">
        <v>102</v>
      </c>
      <c r="AQ13" s="285" t="s">
        <v>60</v>
      </c>
      <c r="AR13" s="285" t="s">
        <v>34</v>
      </c>
      <c r="AS13" s="91"/>
      <c r="AT13" s="91"/>
      <c r="AU13" s="104"/>
      <c r="AV13" s="100"/>
      <c r="AW13" s="105"/>
      <c r="AX13" s="105"/>
      <c r="AY13" s="104"/>
      <c r="AZ13" s="91"/>
      <c r="BA13" s="295"/>
      <c r="BB13" s="50" t="s">
        <v>10</v>
      </c>
      <c r="BC13" s="58" t="e">
        <f>((E25-E24)*E7)/(BC9+BF21)+(E7*E8*E17/K5*BG7*BF14*BD4)</f>
        <v>#DIV/0!</v>
      </c>
      <c r="BD13" s="52" t="s">
        <v>170</v>
      </c>
      <c r="BE13" s="52" t="b">
        <f>OR(G21="ICMS",G21="N")</f>
        <v>1</v>
      </c>
      <c r="BF13" s="59">
        <f>IF(AH3=" ",0,IF(AH3="N",0,1))</f>
        <v>0</v>
      </c>
      <c r="BG13" s="59" t="b">
        <f>BG3=0</f>
        <v>1</v>
      </c>
      <c r="BH13" s="52" t="b">
        <f>BF14=0</f>
        <v>1</v>
      </c>
      <c r="BI13" s="52">
        <f>IF(BD12+BE14+BD2+BD8+BF13+BF22=5,1,0)</f>
        <v>0</v>
      </c>
      <c r="BJ13" s="60">
        <f>((B16*B13)/((1-B14-B15)*(1-B16)))</f>
        <v>0</v>
      </c>
      <c r="BK13" s="54" t="e">
        <f>BK14=0</f>
        <v>#DIV/0!</v>
      </c>
      <c r="BL13" s="37">
        <f>IF(Z15="S",0,1)</f>
        <v>0</v>
      </c>
      <c r="BM13" s="71" t="e">
        <f>IF((BM4+BM7+BM9)*BH11=3,"             OK!"," ")</f>
        <v>#DIV/0!</v>
      </c>
      <c r="BN13" s="37" t="s">
        <v>170</v>
      </c>
      <c r="BO13" s="71" t="e">
        <f>IF((BO4+BO7+BO9+BP9)*BH11=4,"                 OK!"," ")</f>
        <v>#DIV/0!</v>
      </c>
      <c r="BP13" s="37">
        <f>IF(B7=0,1)</f>
        <v>1</v>
      </c>
      <c r="BQ13" s="37" t="e">
        <f>BO2=0</f>
        <v>#DIV/0!</v>
      </c>
      <c r="BR13" s="37" t="e">
        <f>IF(AA10&lt;0,0,1)</f>
        <v>#DIV/0!</v>
      </c>
      <c r="BS13" s="55" t="s">
        <v>11</v>
      </c>
      <c r="BT13" s="65"/>
      <c r="BU13" s="56"/>
      <c r="BV13" s="56"/>
      <c r="BW13" s="56"/>
      <c r="BX13" s="56"/>
      <c r="BY13" s="56"/>
      <c r="BZ13" s="56"/>
      <c r="CA13" s="56"/>
      <c r="CB13" s="56"/>
      <c r="CC13" s="56"/>
      <c r="CD13" s="56"/>
      <c r="CE13" s="56"/>
      <c r="CF13" s="56"/>
      <c r="CG13" s="56"/>
      <c r="CH13" s="56"/>
      <c r="CI13" s="56"/>
      <c r="CJ13" s="56"/>
      <c r="CK13" s="56"/>
      <c r="CL13" s="56"/>
    </row>
    <row r="14" spans="1:90" s="57" customFormat="1" ht="8.25" customHeight="1" x14ac:dyDescent="0.15">
      <c r="A14" s="265" t="s">
        <v>244</v>
      </c>
      <c r="B14" s="236"/>
      <c r="C14" s="236"/>
      <c r="D14" s="236"/>
      <c r="E14" s="236"/>
      <c r="F14" s="236"/>
      <c r="G14" s="296">
        <v>5</v>
      </c>
      <c r="H14" s="297" t="s">
        <v>145</v>
      </c>
      <c r="I14" s="265" t="str">
        <f>IF(G4="US","CÂMBIO  US",IF(G4="$S","CÂMBIO  $S",IF(G4="FS","CÂMBIO  FS",IF(G4="YJ","CÂMBIO  YJ",IF(G4="EP","CÂMBIO  EP",IF(G4="$O","CÂMBIO  $O",IF(G4="YC","CÂMBIO  YC",IF(G4="EU","CÂMBIO  EU"))))))))</f>
        <v>CÂMBIO  EU</v>
      </c>
      <c r="J14" s="275" t="s">
        <v>20</v>
      </c>
      <c r="K14" s="273">
        <f>B20*BD9</f>
        <v>0</v>
      </c>
      <c r="L14" s="298"/>
      <c r="M14" s="272" t="s">
        <v>199</v>
      </c>
      <c r="N14" s="273" t="e">
        <f>(((N11*B14)+N13)*BJ18)+((((B14*((((N11*K14)*BC3)*BJ8)+(BJ13*B7)))/K14)+((C14*((((N11*K14)*BC4)*BJ9)+(BJ14*C7)))/K14)+((D14*((((N11*K14)*BC5)*BJ10)+(BJ15*D7)))/K14)+((E14*((((N11*K14)*BC6)*BJ11)+(BJ16*E7)))/K14)+((F14*((((N11*K14)*BC7)*BJ12)+(BJ17*F7)))/K14)+N13)*BJ19)</f>
        <v>#DIV/0!</v>
      </c>
      <c r="O14" s="279" t="e">
        <f>(IF(N8="S",N14,N14*K14)*BE18)+(IF(N8="N",SUM(AG5:AG9)+AG11+(AG13*BE24),(SUM(AG5:AG9)+AG11+(AG13*BE24))/K14)*BF13)</f>
        <v>#DIV/0!</v>
      </c>
      <c r="P14" s="290" t="s">
        <v>206</v>
      </c>
      <c r="Q14" s="275" t="s">
        <v>20</v>
      </c>
      <c r="R14" s="299">
        <f>F26</f>
        <v>8.5999999999999993E-2</v>
      </c>
      <c r="S14" s="63" t="s">
        <v>55</v>
      </c>
      <c r="T14" s="291" t="str">
        <f>IF(BH11=0,"CUSTO TOTAL","RECEITA TOTAL")</f>
        <v>RECEITA TOTAL</v>
      </c>
      <c r="U14" s="292" t="s">
        <v>20</v>
      </c>
      <c r="V14" s="300" t="e">
        <f>IF(BH11=1,(V13/(1-R7)),IF(BD2*BL4=1,R9,V13+SUM(AC15:AC20)))</f>
        <v>#DIV/0!</v>
      </c>
      <c r="W14" s="277" t="str">
        <f>IF(BJ2=1,"COFINS IMPORT CUSTO","COFINS IMPORT CRÉD.")</f>
        <v>COFINS IMPORT CRÉD.</v>
      </c>
      <c r="X14" s="215" t="s">
        <v>20</v>
      </c>
      <c r="Y14" s="216" t="e">
        <f>((N15-N14)*R5*BF20)</f>
        <v>#DIV/0!</v>
      </c>
      <c r="Z14" s="215" t="s">
        <v>20</v>
      </c>
      <c r="AA14" s="218" t="e">
        <f>(((Y13-Y14)*BK7*BK16)+((Y13-Y14)*BK7*BK17*BK18)+(Y13*BK23))*BH11</f>
        <v>#DIV/0!</v>
      </c>
      <c r="AB14" s="220"/>
      <c r="AC14" s="220"/>
      <c r="AD14" s="301"/>
      <c r="AE14" s="278" t="s">
        <v>63</v>
      </c>
      <c r="AF14" s="176"/>
      <c r="AG14" s="177">
        <f t="shared" si="0"/>
        <v>0</v>
      </c>
      <c r="AH14" s="273">
        <f>(0.25*K7*K6*BE16*K14)*BE15</f>
        <v>0</v>
      </c>
      <c r="AI14" s="279">
        <f>(AG14-AH14)*BF13</f>
        <v>0</v>
      </c>
      <c r="AJ14" s="294">
        <f>AI14/(AH14+BF21)</f>
        <v>0</v>
      </c>
      <c r="AK14" s="302" t="s">
        <v>115</v>
      </c>
      <c r="AL14" s="303" t="e">
        <f>AH8</f>
        <v>#DIV/0!</v>
      </c>
      <c r="AM14" s="303" t="e">
        <f>AH9+AA7</f>
        <v>#DIV/0!</v>
      </c>
      <c r="AN14" s="304" t="e">
        <f>AH10+AA10</f>
        <v>#DIV/0!</v>
      </c>
      <c r="AO14" s="303" t="e">
        <f>AH11+AA12</f>
        <v>#DIV/0!</v>
      </c>
      <c r="AP14" s="303" t="e">
        <f>AH12+AA14</f>
        <v>#DIV/0!</v>
      </c>
      <c r="AQ14" s="303" t="e">
        <f>Y20</f>
        <v>#DIV/0!</v>
      </c>
      <c r="AR14" s="303" t="e">
        <f>SUM(AL14:AQ14)</f>
        <v>#DIV/0!</v>
      </c>
      <c r="AS14" s="125" t="s">
        <v>187</v>
      </c>
      <c r="AT14" s="263"/>
      <c r="AU14" s="305"/>
      <c r="AV14" s="257" t="e">
        <f>AV15+BA14</f>
        <v>#DIV/0!</v>
      </c>
      <c r="AW14" s="89" t="s">
        <v>88</v>
      </c>
      <c r="AX14" s="91"/>
      <c r="AY14" s="96"/>
      <c r="AZ14" s="306" t="e">
        <f>((AV14/AV15)-1)*BF13</f>
        <v>#DIV/0!</v>
      </c>
      <c r="BA14" s="307" t="e">
        <f>((SUM(BA19:BA23)+BA12)*BF22)*BF13</f>
        <v>#DIV/0!</v>
      </c>
      <c r="BB14" s="50" t="s">
        <v>10</v>
      </c>
      <c r="BC14" s="58" t="e">
        <f>((F25-F24)*F7)/(BC9+BF21)+(F7*F8*F17/K5*BG7*BF14*BD4)</f>
        <v>#DIV/0!</v>
      </c>
      <c r="BD14" s="52" t="s">
        <v>170</v>
      </c>
      <c r="BE14" s="52">
        <f>IF(G16="R",1,0)</f>
        <v>0</v>
      </c>
      <c r="BF14" s="52">
        <f>IF(AV3=" ",0,IF(AV3="N",0,1))</f>
        <v>0</v>
      </c>
      <c r="BG14" s="52" t="b">
        <f>BG4=0</f>
        <v>1</v>
      </c>
      <c r="BH14" s="52">
        <f>IF(BH23="OK!",1,0)</f>
        <v>1</v>
      </c>
      <c r="BI14" s="52">
        <f>IF(BH12+BD2+BD3+BD4+BD8+BF13+BF22=5,1,0)</f>
        <v>0</v>
      </c>
      <c r="BJ14" s="60">
        <f>((C16*C13)/((1-C14-C15)*(1-C16)))</f>
        <v>0</v>
      </c>
      <c r="BK14" s="54" t="e">
        <f>Y12&gt;Y11</f>
        <v>#DIV/0!</v>
      </c>
      <c r="BL14" s="37" t="e">
        <f>BA14*-1</f>
        <v>#DIV/0!</v>
      </c>
      <c r="BM14" s="71" t="e">
        <f>IF((BM2+BM5+BM9)*BH11=3,"          CRD?"," ")</f>
        <v>#DIV/0!</v>
      </c>
      <c r="BN14" s="37" t="s">
        <v>170</v>
      </c>
      <c r="BO14" s="71" t="e">
        <f>IF((BO2+BO5+BO9+BP9)*BH11=4,"               CRD?"," ")</f>
        <v>#DIV/0!</v>
      </c>
      <c r="BP14" s="37" t="s">
        <v>170</v>
      </c>
      <c r="BQ14" s="37" t="e">
        <f>BO5=0</f>
        <v>#DIV/0!</v>
      </c>
      <c r="BR14" s="37" t="e">
        <f>IF(AA12&lt;0,0,1)</f>
        <v>#DIV/0!</v>
      </c>
      <c r="BS14" s="55" t="s">
        <v>11</v>
      </c>
      <c r="BT14" s="65"/>
      <c r="BU14" s="56"/>
      <c r="BV14" s="56"/>
      <c r="BW14" s="56"/>
      <c r="BX14" s="56"/>
      <c r="BY14" s="56"/>
      <c r="BZ14" s="56"/>
      <c r="CA14" s="56"/>
      <c r="CB14" s="56"/>
      <c r="CC14" s="56"/>
      <c r="CD14" s="56"/>
      <c r="CE14" s="56"/>
      <c r="CF14" s="56"/>
      <c r="CG14" s="56"/>
      <c r="CH14" s="56"/>
      <c r="CI14" s="56"/>
      <c r="CJ14" s="56"/>
      <c r="CK14" s="56"/>
      <c r="CL14" s="56"/>
    </row>
    <row r="15" spans="1:90" s="57" customFormat="1" ht="8.25" customHeight="1" x14ac:dyDescent="0.15">
      <c r="A15" s="265" t="s">
        <v>245</v>
      </c>
      <c r="B15" s="236"/>
      <c r="C15" s="236"/>
      <c r="D15" s="236"/>
      <c r="E15" s="236"/>
      <c r="F15" s="236"/>
      <c r="G15" s="288" t="s">
        <v>129</v>
      </c>
      <c r="H15" s="308"/>
      <c r="I15" s="265" t="s">
        <v>41</v>
      </c>
      <c r="J15" s="275" t="s">
        <v>20</v>
      </c>
      <c r="K15" s="273">
        <f>D20*BD9</f>
        <v>0</v>
      </c>
      <c r="L15" s="298"/>
      <c r="M15" s="272" t="s">
        <v>200</v>
      </c>
      <c r="N15" s="273" t="e">
        <f>(((N11*B15)+N14)*BJ18)+((((B15*((((N11*K14)*BC3)*BJ8)+(BJ13*B7)))/K14)+((C15*((((N11*K14)*BC4)*BJ9)+(BJ14*C7)))/K14)+((D15*((((N11*K14)*BC5)*BJ10)+(BJ15*D7)))/K14)+((E15*((((N11*K14)*BC6)*BJ11)+(BJ16*E7)))/K14)+((F15*((((N11*K14)*BC7)*BJ12)+(BJ17*F7)))/K14)+N14)*BJ19)</f>
        <v>#DIV/0!</v>
      </c>
      <c r="O15" s="279" t="e">
        <f>(IF(N8="S",N15,N15*K14)*BE18)+(IF(N8="N",SUM(AG5:AG9)+SUM(AG11:AG12)+(AG13*BE24),(SUM(AG5:AG9)+SUM(AG11:AG12)+(AG13*BE24))/K14)*BF13)</f>
        <v>#DIV/0!</v>
      </c>
      <c r="P15" s="290" t="s">
        <v>60</v>
      </c>
      <c r="Q15" s="275" t="s">
        <v>20</v>
      </c>
      <c r="R15" s="262">
        <f>H12</f>
        <v>0</v>
      </c>
      <c r="S15" s="63"/>
      <c r="T15" s="309" t="str">
        <f>IF(BD2*BL4=1,"FATOR CUSTO ESTIMADO",IF(BH11=0,"FATOR CUSTO EFETIVO",IF(BF13=0,"FATOR REVND ESTIMADO","FATOR REVENDA EFETIVO")))</f>
        <v>FATOR REVND ESTIMADO</v>
      </c>
      <c r="U15" s="292" t="s">
        <v>20</v>
      </c>
      <c r="V15" s="310" t="e">
        <f>IF(BD2*BL4=1,N22,IF(BH11=1,V14/K5,O22))</f>
        <v>#DIV/0!</v>
      </c>
      <c r="W15" s="112" t="s">
        <v>214</v>
      </c>
      <c r="X15" s="113" t="s">
        <v>20</v>
      </c>
      <c r="Y15" s="311" t="e">
        <f>(R9-Y17-(BD19*BL13))*G27*BF20*BH11</f>
        <v>#DIV/0!</v>
      </c>
      <c r="Z15" s="312" t="s">
        <v>23</v>
      </c>
      <c r="AA15" s="156" t="str">
        <f>IF(Z15="S","&lt;= IMPOSTOS INCL   (S/N)","&lt;= IMPOSTOS EXCL  (S/N)")</f>
        <v>&lt;= IMPOSTOS INCL   (S/N)</v>
      </c>
      <c r="AB15" s="153" t="s">
        <v>93</v>
      </c>
      <c r="AC15" s="313" t="e">
        <f>(((V14-AC17)*IF(BD4=1,(1+AZ14),1))-(SUM((AC6*BQ11)+(AC8*BQ12)+(AC9*BQ12)+(AC11*BQ13)+(AC13*BQ14))*BL13))*G27*BF13*BF18*BH11</f>
        <v>#DIV/0!</v>
      </c>
      <c r="AD15" s="314">
        <f>IF((BD3+BD4)*BD8=1,(((R9-AD17)*IF(BD4=1,(1+AZ14),1))-(SUM((AD6*BQ11)+(AD8*BQ12)+(AD9*BQ12)+(AD11*BQ13)+(AD13*BQ14))*BL13))*G27*BF13*BF18,0)</f>
        <v>0</v>
      </c>
      <c r="AE15" s="315" t="s">
        <v>65</v>
      </c>
      <c r="AF15" s="176"/>
      <c r="AG15" s="177" t="e">
        <f t="shared" si="0"/>
        <v>#DIV/0!</v>
      </c>
      <c r="AH15" s="273" t="e">
        <f>(((((BC23+BD25+BE2)*N11*BE16*1.05*K14)+(BE23*1.05))+(((((BE3+BE4+BE5)*(N11*(K14/K15))*BE17)*BD9)+(0.015*B19*BF24)+(1.5*BF23))*K15)))*BE15</f>
        <v>#DIV/0!</v>
      </c>
      <c r="AI15" s="279" t="e">
        <f>(AG15-AH15)*BF13</f>
        <v>#DIV/0!</v>
      </c>
      <c r="AJ15" s="294" t="e">
        <f>AI15/(AH15+BF21)</f>
        <v>#DIV/0!</v>
      </c>
      <c r="AK15" s="316">
        <f>G25</f>
        <v>1</v>
      </c>
      <c r="AL15" s="317">
        <f>IF(AK15=1,0,AG8)</f>
        <v>0</v>
      </c>
      <c r="AM15" s="317">
        <f>IF(AK15=1,0,IF((BD3+BD4)*BD8=1,AG9+AD6,AG9+AC6))</f>
        <v>0</v>
      </c>
      <c r="AN15" s="317">
        <f>IF(AK15=1,0,IF((BD3+BD4)*BD8=1,AG10+AD8+AD9,AG10+AC8+AC9))</f>
        <v>0</v>
      </c>
      <c r="AO15" s="317">
        <f>IF(AK15=1,0,IF((BD3+BD4)*BD8=1,AG11+AD11,AG11+AC11))</f>
        <v>0</v>
      </c>
      <c r="AP15" s="317">
        <f>IF(AK15=1,0,IF((BD3+BD4)*BD8=1,AG12+AD13,AG12+AC13))</f>
        <v>0</v>
      </c>
      <c r="AQ15" s="317" t="e">
        <f>IF((BD3+BD4)*BD8=1,AD20,AC20)</f>
        <v>#DIV/0!</v>
      </c>
      <c r="AR15" s="317" t="e">
        <f>SUM(AL15:AQ15)</f>
        <v>#DIV/0!</v>
      </c>
      <c r="AS15" s="318" t="s">
        <v>188</v>
      </c>
      <c r="AT15" s="263"/>
      <c r="AU15" s="263"/>
      <c r="AV15" s="244" t="e">
        <f>(R9*BD2)+(((V14*BD7)+(R9*BD8))*BF18)</f>
        <v>#DIV/0!</v>
      </c>
      <c r="AW15" s="189"/>
      <c r="AX15" s="91"/>
      <c r="AY15" s="91"/>
      <c r="AZ15" s="263"/>
      <c r="BA15" s="319"/>
      <c r="BB15" s="50" t="s">
        <v>10</v>
      </c>
      <c r="BC15" s="61" t="e">
        <f>SUM(BC10:BC14)</f>
        <v>#DIV/0!</v>
      </c>
      <c r="BD15" s="52">
        <f>IF(SUM(AX6:AX11)=0,0,1)</f>
        <v>0</v>
      </c>
      <c r="BE15" s="59" t="b">
        <f>G14&lt;&gt;0</f>
        <v>1</v>
      </c>
      <c r="BF15" s="52">
        <f>BD7</f>
        <v>1</v>
      </c>
      <c r="BG15" s="52" t="b">
        <f>BG5=0</f>
        <v>1</v>
      </c>
      <c r="BH15" s="52">
        <f>IF(BI3="Q-5",1,0)</f>
        <v>0</v>
      </c>
      <c r="BI15" s="52">
        <f>IF(BH12+BD4+BD7+BF13+BF22=5,1,0)</f>
        <v>0</v>
      </c>
      <c r="BJ15" s="60">
        <f>((D16*D13)/((1-D14-D15)*(1-D16)))</f>
        <v>0</v>
      </c>
      <c r="BK15" s="54" t="b">
        <f>OR(H21="PIS",H21="N")</f>
        <v>1</v>
      </c>
      <c r="BL15" s="37">
        <f>SUM(B16:F16)*100</f>
        <v>0</v>
      </c>
      <c r="BM15" s="72" t="e">
        <f>IF((BM3+BM6+BM8)*BH11=3,"        CRD!"," ")</f>
        <v>#DIV/0!</v>
      </c>
      <c r="BN15" s="37" t="s">
        <v>170</v>
      </c>
      <c r="BO15" s="71" t="e">
        <f>IF((BO3+BO6+BO8+BP9)*BH11=4,"            CRD!"," ")</f>
        <v>#DIV/0!</v>
      </c>
      <c r="BP15" s="37" t="s">
        <v>170</v>
      </c>
      <c r="BQ15" s="37" t="e">
        <f>IF(Y6+Y7=0,1,0)</f>
        <v>#DIV/0!</v>
      </c>
      <c r="BR15" s="37" t="e">
        <f>IF(AA14&lt;0,0,1)</f>
        <v>#DIV/0!</v>
      </c>
      <c r="BS15" s="55" t="s">
        <v>11</v>
      </c>
      <c r="BT15" s="65"/>
      <c r="BU15" s="56"/>
      <c r="BV15" s="56"/>
      <c r="BW15" s="56"/>
      <c r="BX15" s="56"/>
      <c r="BY15" s="56"/>
      <c r="BZ15" s="56"/>
      <c r="CA15" s="56"/>
      <c r="CB15" s="56"/>
      <c r="CC15" s="56"/>
      <c r="CD15" s="56"/>
      <c r="CE15" s="56"/>
      <c r="CF15" s="56"/>
      <c r="CG15" s="56"/>
      <c r="CH15" s="56"/>
      <c r="CI15" s="56"/>
      <c r="CJ15" s="56"/>
      <c r="CK15" s="56"/>
      <c r="CL15" s="56"/>
    </row>
    <row r="16" spans="1:90" s="57" customFormat="1" ht="8.25" customHeight="1" x14ac:dyDescent="0.15">
      <c r="A16" s="265" t="s">
        <v>246</v>
      </c>
      <c r="B16" s="236"/>
      <c r="C16" s="236"/>
      <c r="D16" s="236"/>
      <c r="E16" s="236"/>
      <c r="F16" s="236"/>
      <c r="G16" s="296" t="s">
        <v>230</v>
      </c>
      <c r="H16" s="320" t="s">
        <v>73</v>
      </c>
      <c r="I16" s="265" t="s">
        <v>68</v>
      </c>
      <c r="J16" s="275" t="s">
        <v>20</v>
      </c>
      <c r="K16" s="273">
        <f>F20*BD9</f>
        <v>0</v>
      </c>
      <c r="L16" s="298" t="s">
        <v>69</v>
      </c>
      <c r="M16" s="272" t="s">
        <v>201</v>
      </c>
      <c r="N16" s="273" t="e">
        <f>((N15/(1-B16)*BC3)+(N15/(1-C16)*BC4)+(N15/(1-D16)*BC5)+(N15/(1-E16)*BC6)+(N15/(1-F16)*BC7))+(K17/K14*BL16/(1-B16))+(((K17/K14*BL16/(1-B16))+(K17/K14*BL17/(1-C16))+(K17/K14*BL18/(1-D16))+(K17/K14*BL19/(1-E16))+(K17/K14*BL20/(1-F16)))-(K17/K14))</f>
        <v>#DIV/0!</v>
      </c>
      <c r="O16" s="279" t="e">
        <f>(IF(N8="S",N16,N16*K14)*BE18)+(IF(N8="N",SUM(AG5:AG12)+(AG13*BE24),(SUM(AG5:AG12)+(AG13*BE24))/K14)*BF13)</f>
        <v>#DIV/0!</v>
      </c>
      <c r="P16" s="127" t="str">
        <f>IF(G4="US","  US 1,00 FOB (S/N)  =&gt;&gt;&gt;",IF(G4="$S","  $S 1,00 FOB (S/N)  =&gt;&gt;&gt;",IF(G4="FS","  FS 1,00 FOB (S/N)  =&gt;&gt;&gt;",IF(G4="YJ","  YJ 1,00 FOB (S/N)  =&gt;&gt;&gt;",IF(G4="EP","  EP 1,00 FOB (S/N)  =&gt;&gt;&gt;",IF(G4="$O","  $O 1,00 FOB (S/N)  =&gt;&gt;&gt;",IF(G4="YC"," YC 1,00 FOB (S/N)  =&gt;&gt;&gt;",IF(G4="EU","  EU 1,00 FOB (S/N) =&gt;&gt;&gt;"))))))))</f>
        <v xml:space="preserve">  EU 1,00 FOB (S/N) =&gt;&gt;&gt;</v>
      </c>
      <c r="Q16" s="312" t="s">
        <v>51</v>
      </c>
      <c r="R16" s="321"/>
      <c r="S16" s="322"/>
      <c r="T16" s="127" t="str">
        <f>P16</f>
        <v xml:space="preserve">  EU 1,00 FOB (S/N) =&gt;&gt;&gt;</v>
      </c>
      <c r="U16" s="312" t="s">
        <v>51</v>
      </c>
      <c r="V16" s="189"/>
      <c r="W16" s="112" t="s">
        <v>80</v>
      </c>
      <c r="X16" s="113" t="s">
        <v>20</v>
      </c>
      <c r="Y16" s="311" t="e">
        <f>F21*BF20</f>
        <v>#DIV/0!</v>
      </c>
      <c r="Z16" s="323"/>
      <c r="AA16" s="324"/>
      <c r="AB16" s="153" t="s">
        <v>93</v>
      </c>
      <c r="AC16" s="313" t="e">
        <f>F21*BF13*BF20*BH7*BF18</f>
        <v>#DIV/0!</v>
      </c>
      <c r="AD16" s="314">
        <f>IF((BD3+BD4)*BD8=1,F21*BF13*BF18*BF20,0)</f>
        <v>0</v>
      </c>
      <c r="AE16" s="278" t="s">
        <v>70</v>
      </c>
      <c r="AF16" s="176"/>
      <c r="AG16" s="177">
        <f t="shared" si="0"/>
        <v>0</v>
      </c>
      <c r="AH16" s="273">
        <f>(0.05*K6*K7*BE16*K14)*BE15</f>
        <v>0</v>
      </c>
      <c r="AI16" s="279">
        <f>(AG16-AH16)*BF13</f>
        <v>0</v>
      </c>
      <c r="AJ16" s="294">
        <f>AI16/(AH16+BF21)</f>
        <v>0</v>
      </c>
      <c r="AK16" s="275" t="s">
        <v>55</v>
      </c>
      <c r="AL16" s="325">
        <f>IF(G25=1,0,AL15-AL14)</f>
        <v>0</v>
      </c>
      <c r="AM16" s="325">
        <f>IF(G25=1,0,AM15-AM14)</f>
        <v>0</v>
      </c>
      <c r="AN16" s="325">
        <f>IF(G25=1,0,AN15-AN14)</f>
        <v>0</v>
      </c>
      <c r="AO16" s="325">
        <f>IF(G25=1,0,AO15-AO14)</f>
        <v>0</v>
      </c>
      <c r="AP16" s="325">
        <f>IF(G25=1,0,AP15-AP14)</f>
        <v>0</v>
      </c>
      <c r="AQ16" s="325">
        <f>IF(G25=1,0,AQ15-AQ14)</f>
        <v>0</v>
      </c>
      <c r="AR16" s="325" t="e">
        <f>AR15-AR14</f>
        <v>#DIV/0!</v>
      </c>
      <c r="AS16" s="189"/>
      <c r="AT16" s="189"/>
      <c r="AU16" s="189"/>
      <c r="AV16" s="189"/>
      <c r="AW16" s="189"/>
      <c r="AX16" s="189"/>
      <c r="AY16" s="189"/>
      <c r="AZ16" s="189"/>
      <c r="BA16" s="189"/>
      <c r="BB16" s="50" t="s">
        <v>10</v>
      </c>
      <c r="BC16" s="62" t="e">
        <f>(((B25*BD12)+(B24*BE14))*B7*1)+(((C25*BD12)+(C24*BE14))*C7)+(((D25*BD12)+(D24*BE14))*D7)+(((E25*BD12)+(E24*BE14))*E7)+(((F25*BD12)+(F24*BE14))*F7)+(AY12*BG7*BF14*BD4)</f>
        <v>#DIV/0!</v>
      </c>
      <c r="BD16" s="52" t="str">
        <f>IF(BF13=0,"FASE 1","FASE 2")</f>
        <v>FASE 1</v>
      </c>
      <c r="BE16" s="52" t="b">
        <f>D19&gt;0</f>
        <v>0</v>
      </c>
      <c r="BF16" s="52" t="b">
        <f>BD8</f>
        <v>0</v>
      </c>
      <c r="BG16" s="52" t="b">
        <f>BG6=0</f>
        <v>1</v>
      </c>
      <c r="BH16" s="52">
        <f>IF(BI5="Q-7",1,0)</f>
        <v>0</v>
      </c>
      <c r="BI16" s="52">
        <f>IF(BI2="OK!",1,0)</f>
        <v>0</v>
      </c>
      <c r="BJ16" s="60">
        <f>((E16*E13)/((1-E14-E15)*(1-E16)))</f>
        <v>0</v>
      </c>
      <c r="BK16" s="54" t="e">
        <f>BK17=0</f>
        <v>#DIV/0!</v>
      </c>
      <c r="BL16" s="47" t="e">
        <f>B16*100/BL15</f>
        <v>#DIV/0!</v>
      </c>
      <c r="BM16" s="72" t="e">
        <f>IF((BM2+BM7+BM9)*BH11=3,"        IPI?"," ")</f>
        <v>#DIV/0!</v>
      </c>
      <c r="BN16" s="38" t="s">
        <v>170</v>
      </c>
      <c r="BO16" s="71" t="e">
        <f>IF((BO2+BO7+BO9+BP9)*BH11=4,"           PIS?"," ")</f>
        <v>#DIV/0!</v>
      </c>
      <c r="BP16" s="37" t="s">
        <v>170</v>
      </c>
      <c r="BQ16" s="37" t="e">
        <f>((R9/(1+R11)*R11)-AG9)*BF4*BF18*-1</f>
        <v>#DIV/0!</v>
      </c>
      <c r="BR16" s="37" t="s">
        <v>170</v>
      </c>
      <c r="BS16" s="55" t="s">
        <v>11</v>
      </c>
      <c r="BT16" s="65"/>
      <c r="BU16" s="56"/>
      <c r="BV16" s="56"/>
      <c r="BW16" s="56"/>
      <c r="BX16" s="56"/>
      <c r="BY16" s="56"/>
      <c r="BZ16" s="56"/>
      <c r="CA16" s="56"/>
      <c r="CB16" s="56"/>
      <c r="CC16" s="56"/>
      <c r="CD16" s="56"/>
      <c r="CE16" s="56"/>
      <c r="CF16" s="56"/>
      <c r="CG16" s="56"/>
      <c r="CH16" s="56"/>
      <c r="CI16" s="56"/>
      <c r="CJ16" s="56"/>
      <c r="CK16" s="56"/>
      <c r="CL16" s="56"/>
    </row>
    <row r="17" spans="1:90" s="57" customFormat="1" ht="8.25" customHeight="1" x14ac:dyDescent="0.15">
      <c r="A17" s="265" t="s">
        <v>247</v>
      </c>
      <c r="B17" s="236"/>
      <c r="C17" s="236"/>
      <c r="D17" s="236"/>
      <c r="E17" s="236"/>
      <c r="F17" s="236"/>
      <c r="G17" s="326" t="s">
        <v>229</v>
      </c>
      <c r="H17" s="327" t="s">
        <v>112</v>
      </c>
      <c r="I17" s="265" t="s">
        <v>110</v>
      </c>
      <c r="J17" s="275" t="s">
        <v>20</v>
      </c>
      <c r="K17" s="273">
        <f>B21*BD9</f>
        <v>0</v>
      </c>
      <c r="L17" s="298" t="s">
        <v>69</v>
      </c>
      <c r="M17" s="272" t="str">
        <f>IF(G10=0,"sem Função  =&gt;&gt;",IF(BE24=1,"sem Função  =&gt;&gt;","SEGURO"))</f>
        <v>sem Função  =&gt;&gt;</v>
      </c>
      <c r="N17" s="273" t="e">
        <f>IF(BE24=1,N16,(N16+(N10*G10*BE11)))</f>
        <v>#DIV/0!</v>
      </c>
      <c r="O17" s="279" t="e">
        <f>(IF(H10="N",(SUM(AH5:AH13))*BL22/K14))+((IF(N8="S",N17,N17*K14)*BE18)+(IF(N8="N",SUM(AG5:AG12)+(AG13*BE24),(SUM(AG5:AG12)+(AG13*BE24))/K14)*BF13))*BE24</f>
        <v>#DIV/0!</v>
      </c>
      <c r="P17" s="328" t="s">
        <v>139</v>
      </c>
      <c r="Q17" s="329" t="s">
        <v>93</v>
      </c>
      <c r="R17" s="330" t="s">
        <v>140</v>
      </c>
      <c r="S17" s="331"/>
      <c r="T17" s="328" t="s">
        <v>155</v>
      </c>
      <c r="U17" s="329" t="s">
        <v>93</v>
      </c>
      <c r="V17" s="332" t="str">
        <f>CONCATENATE(BN17,BN18,BN19,BN20,BN21)</f>
        <v xml:space="preserve">FASE 1 - PREÇO    </v>
      </c>
      <c r="W17" s="112" t="s">
        <v>82</v>
      </c>
      <c r="X17" s="113" t="s">
        <v>20</v>
      </c>
      <c r="Y17" s="311" t="e">
        <f>B22*BF20</f>
        <v>#DIV/0!</v>
      </c>
      <c r="Z17" s="323"/>
      <c r="AA17" s="333"/>
      <c r="AB17" s="153" t="s">
        <v>93</v>
      </c>
      <c r="AC17" s="313" t="e">
        <f>B22*BF13*BF20*BH7*BF18</f>
        <v>#DIV/0!</v>
      </c>
      <c r="AD17" s="314">
        <f>IF((BD3+BD4)*BD8=1,B22*BF13*BF18*BF20,0)</f>
        <v>0</v>
      </c>
      <c r="AE17" s="278" t="s">
        <v>72</v>
      </c>
      <c r="AF17" s="176"/>
      <c r="AG17" s="177">
        <f t="shared" si="0"/>
        <v>0</v>
      </c>
      <c r="AH17" s="273">
        <f>K20</f>
        <v>0</v>
      </c>
      <c r="AI17" s="279">
        <f>(AG17-AH17)*BF13</f>
        <v>0</v>
      </c>
      <c r="AJ17" s="294">
        <f>AI17/(AH17+BF21)</f>
        <v>0</v>
      </c>
      <c r="AK17" s="334"/>
      <c r="AL17" s="335" t="s">
        <v>118</v>
      </c>
      <c r="AM17" s="189"/>
      <c r="AN17" s="336">
        <f>IF(AK15=1,0,AR16/AR14)</f>
        <v>0</v>
      </c>
      <c r="AO17" s="337" t="s">
        <v>116</v>
      </c>
      <c r="AP17" s="138"/>
      <c r="AQ17" s="335" t="s">
        <v>117</v>
      </c>
      <c r="AR17" s="336" t="e">
        <f>AR14/R9</f>
        <v>#DIV/0!</v>
      </c>
      <c r="AS17" s="91"/>
      <c r="AT17" s="91"/>
      <c r="AU17" s="338" t="s">
        <v>24</v>
      </c>
      <c r="AV17" s="339" t="s">
        <v>24</v>
      </c>
      <c r="AW17" s="120" t="s">
        <v>25</v>
      </c>
      <c r="AX17" s="340" t="s">
        <v>158</v>
      </c>
      <c r="AY17" s="338" t="s">
        <v>24</v>
      </c>
      <c r="AZ17" s="157" t="s">
        <v>162</v>
      </c>
      <c r="BA17" s="106" t="s">
        <v>30</v>
      </c>
      <c r="BB17" s="50" t="s">
        <v>10</v>
      </c>
      <c r="BC17" s="58" t="e">
        <f>(((B25*BD12)+(B24*BE14))*B7*B18)/(BC16+BF21)+(B7*B8*B18/K5*BG7*BF14*BD4)</f>
        <v>#DIV/0!</v>
      </c>
      <c r="BD17" s="63" t="e">
        <f>(AC6+AC8+AC9+AC11+AC13)*BL13</f>
        <v>#DIV/0!</v>
      </c>
      <c r="BE17" s="52" t="b">
        <f>F19&gt;0</f>
        <v>0</v>
      </c>
      <c r="BF17" s="52" t="b">
        <f>OR(BF13=0,BF15=0)</f>
        <v>1</v>
      </c>
      <c r="BG17" s="52" t="b">
        <f>NOT((SUM(AW7:AW11)+AX6+AY12)=0)</f>
        <v>0</v>
      </c>
      <c r="BH17" s="52">
        <f>IF(BH12+BD3+BD8+BE18+BH13=5,1,0)</f>
        <v>0</v>
      </c>
      <c r="BI17" s="52">
        <f>IF(BD12+BE14+BD3+BD4+BD7+BD8+BE18+BF22=5,1,0)</f>
        <v>0</v>
      </c>
      <c r="BJ17" s="60">
        <f>((F16*F13)/((1-F14-F15)*(1-F16)))</f>
        <v>0</v>
      </c>
      <c r="BK17" s="54" t="e">
        <f>Y14&gt;Y13</f>
        <v>#DIV/0!</v>
      </c>
      <c r="BL17" s="47" t="e">
        <f>C16*100/BL15</f>
        <v>#DIV/0!</v>
      </c>
      <c r="BM17" s="72" t="e">
        <f>IF((BM3+BM7+BM8)*BH11=3,"     IPI!"," ")</f>
        <v>#DIV/0!</v>
      </c>
      <c r="BN17" s="77" t="str">
        <f>IF(BD2+BD7=2,"FASE 1 - PREÇO"," ")</f>
        <v>FASE 1 - PREÇO</v>
      </c>
      <c r="BO17" s="72" t="e">
        <f>IF((BO3+BO7+BO8+BP9)*BH11=4,"         PIS!"," ")</f>
        <v>#DIV/0!</v>
      </c>
      <c r="BP17" s="37" t="s">
        <v>170</v>
      </c>
      <c r="BQ17" s="37" t="e">
        <f>((R9*R12)-AG10)*BF7*BD12*BF18*-1</f>
        <v>#DIV/0!</v>
      </c>
      <c r="BR17" s="37" t="s">
        <v>170</v>
      </c>
      <c r="BS17" s="55" t="s">
        <v>11</v>
      </c>
      <c r="BT17" s="65"/>
      <c r="BU17" s="56"/>
      <c r="BV17" s="56"/>
      <c r="BW17" s="56"/>
      <c r="BX17" s="56"/>
      <c r="BY17" s="56"/>
      <c r="BZ17" s="56"/>
      <c r="CA17" s="56"/>
      <c r="CB17" s="56"/>
      <c r="CC17" s="56"/>
      <c r="CD17" s="56"/>
      <c r="CE17" s="56"/>
      <c r="CF17" s="56"/>
      <c r="CG17" s="56"/>
      <c r="CH17" s="56"/>
      <c r="CI17" s="56"/>
      <c r="CJ17" s="56"/>
      <c r="CK17" s="56"/>
      <c r="CL17" s="56"/>
    </row>
    <row r="18" spans="1:90" s="57" customFormat="1" ht="8.25" customHeight="1" x14ac:dyDescent="0.15">
      <c r="A18" s="265" t="s">
        <v>224</v>
      </c>
      <c r="B18" s="236"/>
      <c r="C18" s="236"/>
      <c r="D18" s="236"/>
      <c r="E18" s="236"/>
      <c r="F18" s="236"/>
      <c r="G18" s="288" t="s">
        <v>149</v>
      </c>
      <c r="H18" s="341"/>
      <c r="I18" s="265" t="s">
        <v>150</v>
      </c>
      <c r="J18" s="275" t="s">
        <v>20</v>
      </c>
      <c r="K18" s="273">
        <f>D21*BD9</f>
        <v>0</v>
      </c>
      <c r="L18" s="298" t="s">
        <v>69</v>
      </c>
      <c r="M18" s="342" t="str">
        <f>IF(G4="US","TOTAL  US  =&gt;&gt;&gt;",IF(G4="$S","TOTAL  $S  =&gt;&gt;&gt;",IF(G4="FS","TOTAL  FS  =&gt;&gt;&gt;",IF(G4="YJ","TOTAL  YJ  =&gt;&gt;&gt;",IF(G4="EP","TOTAL  EP  =&gt;&gt;&gt;",IF(G4="$O","TOTAL  $O  =&gt;&gt;&gt;",IF(G4="YC","TOTAL  YC  =&gt;&gt;&gt;",IF(G4="EU","TOTAL  EU  =&gt;&gt;&gt;"))))))))</f>
        <v>TOTAL  EU  =&gt;&gt;&gt;</v>
      </c>
      <c r="N18" s="273" t="e">
        <f>N17+((K17+K18+K20+K21+K22+(K23*1.05)+(K16*3*BE20*1.05)+(K24*BE21*1.05)+(K16*6*BE22*1.05))/K14)</f>
        <v>#DIV/0!</v>
      </c>
      <c r="O18" s="279" t="e">
        <f>O20/K14</f>
        <v>#DIV/0!</v>
      </c>
      <c r="P18" s="343" t="s">
        <v>138</v>
      </c>
      <c r="Q18" s="344" t="str">
        <f>G4</f>
        <v>EU</v>
      </c>
      <c r="R18" s="345" t="e">
        <f>(N18+(Y21/R5))/BL23</f>
        <v>#DIV/0!</v>
      </c>
      <c r="S18" s="346"/>
      <c r="T18" s="347" t="s">
        <v>138</v>
      </c>
      <c r="U18" s="348" t="str">
        <f>G4</f>
        <v>EU</v>
      </c>
      <c r="V18" s="349" t="e">
        <f>IF(BH11=0,(((N20+Y21)/R5*BD2)+((O20+AC21)/V5*BD3))/BL25,((V24/R5*BD2)+(V24/V5*BF18)))</f>
        <v>#DIV/0!</v>
      </c>
      <c r="W18" s="112" t="s">
        <v>215</v>
      </c>
      <c r="X18" s="113" t="s">
        <v>20</v>
      </c>
      <c r="Y18" s="311" t="e">
        <f>R9*H27*BF20*BH11</f>
        <v>#DIV/0!</v>
      </c>
      <c r="Z18" s="323"/>
      <c r="AA18" s="333"/>
      <c r="AB18" s="153" t="s">
        <v>93</v>
      </c>
      <c r="AC18" s="313" t="e">
        <f>((V14*BF13*BF15)+(V14*BF16*BF17)+(BA14*BF14*BF19))*H27*BF18*BF20*BH7*BH11</f>
        <v>#DIV/0!</v>
      </c>
      <c r="AD18" s="350">
        <f>IF((BD3+BD4)*BD8=1,((R9*BF13*BF15)+(R9*BF16*BF17)+(BA14*BF14*BF19))*H27*BF18*BF20*BH7,0)</f>
        <v>0</v>
      </c>
      <c r="AE18" s="278" t="s">
        <v>111</v>
      </c>
      <c r="AF18" s="176"/>
      <c r="AG18" s="177">
        <f t="shared" si="0"/>
        <v>0</v>
      </c>
      <c r="AH18" s="273">
        <f>K17</f>
        <v>0</v>
      </c>
      <c r="AI18" s="279">
        <f>(AG18-AH18)*BF13</f>
        <v>0</v>
      </c>
      <c r="AJ18" s="294">
        <f>AI18/(AH18+BF21)</f>
        <v>0</v>
      </c>
      <c r="AK18" s="138"/>
      <c r="AL18" s="351" t="e">
        <f>IF((AA7*AA10*AA12*AA14)+BL4=0," CRÉDITOS FUTUROS !!!  VEJA QUADRO Q-4",IF(BR12*BR13*BR14*BR15=0," CRÉDITOS FUTUROS !!! / ???  VEJA QUADRO Q-4"," "))</f>
        <v>#DIV/0!</v>
      </c>
      <c r="AM18" s="138"/>
      <c r="AN18" s="352"/>
      <c r="AO18" s="138"/>
      <c r="AP18" s="138"/>
      <c r="AQ18" s="353" t="str">
        <f>IF(AK15=1,"FASE 1:     =&gt;",IF(AK15=2,"FASE 2:     =&gt;",IF(AK15=3,"FASE 3:     =&gt;")))</f>
        <v>FASE 1:     =&gt;</v>
      </c>
      <c r="AR18" s="336" t="e">
        <f>IF(AR10=0,"            ! ! !",AR15/AR10)</f>
        <v>#DIV/0!</v>
      </c>
      <c r="AS18" s="96" t="s">
        <v>31</v>
      </c>
      <c r="AT18" s="157" t="s">
        <v>32</v>
      </c>
      <c r="AU18" s="354" t="str">
        <f>IF(AU25="FASE 1","FASE 1","FASE 2")</f>
        <v>FASE 1</v>
      </c>
      <c r="AV18" s="339" t="s">
        <v>33</v>
      </c>
      <c r="AW18" s="120" t="s">
        <v>158</v>
      </c>
      <c r="AX18" s="340" t="s">
        <v>161</v>
      </c>
      <c r="AY18" s="338" t="s">
        <v>163</v>
      </c>
      <c r="AZ18" s="157" t="s">
        <v>34</v>
      </c>
      <c r="BA18" s="106" t="s">
        <v>34</v>
      </c>
      <c r="BB18" s="50" t="s">
        <v>10</v>
      </c>
      <c r="BC18" s="58" t="e">
        <f>(((C25*BD12)+(C24*BE14))*C7*C18)/(BC16+BF21)+(C7*C8*C18/K5*BG7*BF14*BD4)</f>
        <v>#DIV/0!</v>
      </c>
      <c r="BD18" s="63" t="s">
        <v>170</v>
      </c>
      <c r="BE18" s="52" t="b">
        <f>BF13=0</f>
        <v>1</v>
      </c>
      <c r="BF18" s="52" t="b">
        <f>G25&lt;&gt;1</f>
        <v>0</v>
      </c>
      <c r="BG18" s="59" t="b">
        <f>AND(BG17=0,BF22=1)</f>
        <v>0</v>
      </c>
      <c r="BH18" s="52">
        <f>IF(BH24="OK!",2,0)</f>
        <v>0</v>
      </c>
      <c r="BI18" s="52">
        <f>IF(BH12+BD3+BD7+BE18+BF22=5,1,0)</f>
        <v>0</v>
      </c>
      <c r="BJ18" s="63">
        <f>IF(G22="N",1)</f>
        <v>1</v>
      </c>
      <c r="BK18" s="54" t="b">
        <f>OR(H21="COF",H21="N")</f>
        <v>1</v>
      </c>
      <c r="BL18" s="47" t="e">
        <f>D16*100/BL15</f>
        <v>#DIV/0!</v>
      </c>
      <c r="BM18" s="72" t="e">
        <f>IF((BM4+BM5+BM9)*BH11=3,"   ICMS?"," ")</f>
        <v>#DIV/0!</v>
      </c>
      <c r="BN18" s="72" t="str">
        <f>IF(BD3+BD7=2,"FASE 2 - PREÇO"," ")</f>
        <v xml:space="preserve"> </v>
      </c>
      <c r="BO18" s="72" t="e">
        <f>IF((BO4+BO5+BO9+BP9)*BH11=4,"       COF?"," ")</f>
        <v>#DIV/0!</v>
      </c>
      <c r="BP18" s="37" t="e">
        <f>(Y6-Y7)*BF4*-1</f>
        <v>#DIV/0!</v>
      </c>
      <c r="BQ18" s="37" t="e">
        <f>((R9/(1+R11)*R12)-AG10)*BF9*BE14*BF18*-1</f>
        <v>#DIV/0!</v>
      </c>
      <c r="BR18" s="37" t="s">
        <v>170</v>
      </c>
      <c r="BS18" s="55" t="s">
        <v>11</v>
      </c>
      <c r="BT18" s="65"/>
      <c r="BU18" s="56"/>
      <c r="BV18" s="56"/>
      <c r="BW18" s="56"/>
      <c r="BX18" s="56"/>
      <c r="BY18" s="56"/>
      <c r="BZ18" s="56"/>
      <c r="CA18" s="56"/>
      <c r="CB18" s="56"/>
      <c r="CC18" s="56"/>
      <c r="CD18" s="56"/>
      <c r="CE18" s="56"/>
      <c r="CF18" s="56"/>
      <c r="CG18" s="56"/>
      <c r="CH18" s="56"/>
      <c r="CI18" s="56"/>
      <c r="CJ18" s="56"/>
      <c r="CK18" s="56"/>
      <c r="CL18" s="56"/>
    </row>
    <row r="19" spans="1:90" s="57" customFormat="1" ht="8.25" customHeight="1" x14ac:dyDescent="0.15">
      <c r="A19" s="265" t="s">
        <v>40</v>
      </c>
      <c r="B19" s="355"/>
      <c r="C19" s="275" t="str">
        <f>IF(BP10+BP11=2,"??? =&gt;&gt;&gt;",IF(F19&lt;&gt;0,"s/Fn. =&gt;&gt;&gt;","FRETE MAR"))</f>
        <v>FRETE MAR</v>
      </c>
      <c r="D19" s="356"/>
      <c r="E19" s="275" t="str">
        <f>IF(BP10+BP11=2,"??? =&gt;&gt;&gt;",IF(D19&lt;&gt;0,"s/Fn. =&gt;&gt;&gt;","FRETE AR"))</f>
        <v>FRETE AR</v>
      </c>
      <c r="F19" s="357"/>
      <c r="G19" s="358" t="s">
        <v>136</v>
      </c>
      <c r="H19" s="359" t="s">
        <v>137</v>
      </c>
      <c r="I19" s="265" t="s">
        <v>75</v>
      </c>
      <c r="J19" s="275" t="s">
        <v>20</v>
      </c>
      <c r="K19" s="273" t="e">
        <f>((N11-N10)+(N17-N16))*K14</f>
        <v>#DIV/0!</v>
      </c>
      <c r="L19" s="298" t="s">
        <v>69</v>
      </c>
      <c r="M19" s="342" t="s">
        <v>76</v>
      </c>
      <c r="N19" s="273" t="e">
        <f>N18*B20/D20</f>
        <v>#DIV/0!</v>
      </c>
      <c r="O19" s="279" t="e">
        <f>O20/K15</f>
        <v>#DIV/0!</v>
      </c>
      <c r="P19" s="360" t="str">
        <f>IF(BH11=0,"CUSTO TOTAL","VALOR REVENDA")</f>
        <v>VALOR REVENDA</v>
      </c>
      <c r="Q19" s="195" t="str">
        <f>G4</f>
        <v>EU</v>
      </c>
      <c r="R19" s="361" t="e">
        <f>IF(BH11=0,R18,N18/(1-R7)/BL23)</f>
        <v>#DIV/0!</v>
      </c>
      <c r="S19" s="362"/>
      <c r="T19" s="363" t="str">
        <f>IF(BH11=0,"CUSTO TOTAL","VALOR REVENDA")</f>
        <v>VALOR REVENDA</v>
      </c>
      <c r="U19" s="364" t="str">
        <f>G4</f>
        <v>EU</v>
      </c>
      <c r="V19" s="365" t="e">
        <f>IF(BH11=0,(((N20+Y21)/R5*BD2)+((O20+AC21)/V5*BD3))/BL25,(V25/R5*BD2)+(V25/V5*BF18))</f>
        <v>#DIV/0!</v>
      </c>
      <c r="W19" s="112" t="s">
        <v>58</v>
      </c>
      <c r="X19" s="113" t="s">
        <v>20</v>
      </c>
      <c r="Y19" s="311" t="e">
        <f>(K5*R5*(BE8+((N22-1)*BE9))*((R10+1)^(1/30*S10)-1))*BF20</f>
        <v>#DIV/0!</v>
      </c>
      <c r="Z19" s="366"/>
      <c r="AA19" s="367"/>
      <c r="AB19" s="153" t="s">
        <v>93</v>
      </c>
      <c r="AC19" s="313" t="e">
        <f>(((AG5+AG6)*BE8)+((AG24-AG5-AG6)*BE9))*(((R10+1)^(1/30*S10)-1))*BF13*BF20*BH7*BF18</f>
        <v>#DIV/0!</v>
      </c>
      <c r="AD19" s="235">
        <f>IF((BD3+BD4)*BD8=1,(((AG5+AG6)*BE8)+((AG24-AG5-AG6)*BE9))*(((R10+1)^(1/30*S10)-1))*BF13*BF18*BF20*BH7,0)</f>
        <v>0</v>
      </c>
      <c r="AE19" s="278" t="s">
        <v>77</v>
      </c>
      <c r="AF19" s="176"/>
      <c r="AG19" s="177">
        <f t="shared" si="0"/>
        <v>0</v>
      </c>
      <c r="AH19" s="273">
        <f>K23*1.05</f>
        <v>0</v>
      </c>
      <c r="AI19" s="279">
        <f>(AG19-AH19)*BF13</f>
        <v>0</v>
      </c>
      <c r="AJ19" s="294">
        <f>AI19/(AH19+BF21)</f>
        <v>0</v>
      </c>
      <c r="AK19" s="103" t="s">
        <v>228</v>
      </c>
      <c r="AL19" s="138"/>
      <c r="AM19" s="138"/>
      <c r="AN19" s="138"/>
      <c r="AO19" s="138"/>
      <c r="AP19" s="138"/>
      <c r="AQ19" s="138"/>
      <c r="AR19" s="138"/>
      <c r="AS19" s="149" t="s">
        <v>26</v>
      </c>
      <c r="AT19" s="368" t="str">
        <f>B6</f>
        <v>AA</v>
      </c>
      <c r="AU19" s="164">
        <f>IF(B7=0,0,((R9*BK2/(B7+BP13))*BD2)+((((R9*BK2/(B7+BP13))*BD8)+((V14*BK2/(B7+BP13))*BD7))*BF18))</f>
        <v>0</v>
      </c>
      <c r="AV19" s="179">
        <f>AU19*(1-((AX6/100*BF25)+(AX7/100*BG2)))*BF14*BG21</f>
        <v>0</v>
      </c>
      <c r="AW19" s="369">
        <f>IF(B7=0,0,(B7*BF14*BG12)+(AW7*BG2))</f>
        <v>0</v>
      </c>
      <c r="AX19" s="193">
        <f>B7-AW19</f>
        <v>0</v>
      </c>
      <c r="AY19" s="370">
        <f>IF(B7=0,0,BI23)*BF14</f>
        <v>0</v>
      </c>
      <c r="AZ19" s="240">
        <f>IF(B7=0,0,((AY19/(AU19+BF21))-1)*BF14*BG21)</f>
        <v>0</v>
      </c>
      <c r="BA19" s="287">
        <f>AU19*(AW19+AX19)*AZ19*BF14</f>
        <v>0</v>
      </c>
      <c r="BB19" s="50" t="s">
        <v>10</v>
      </c>
      <c r="BC19" s="58" t="e">
        <f>(((D25*BD12)+(D24*BE14))*D7*D18)/(BC16+BF21)+(D7*D8*D18/K5*BG7*BF14*BD4)</f>
        <v>#DIV/0!</v>
      </c>
      <c r="BD19" s="63" t="e">
        <f>(AA7+AA10+AA12+AA14)*BL13</f>
        <v>#DIV/0!</v>
      </c>
      <c r="BE19" s="52" t="b">
        <f>G12&gt;0</f>
        <v>0</v>
      </c>
      <c r="BF19" s="52" t="b">
        <f>BD4</f>
        <v>0</v>
      </c>
      <c r="BG19" s="52" t="b">
        <f>NOT(SUM(AX7:AX11)&gt;=1)</f>
        <v>1</v>
      </c>
      <c r="BH19" s="52">
        <f>IF(BD12+BE14+BD2+BD8+BF13+BH13=5,1,0)</f>
        <v>0</v>
      </c>
      <c r="BI19" s="52">
        <f>IF(BH12+BD3+BD4+BD8+BE18+BF22=5,1,0)</f>
        <v>0</v>
      </c>
      <c r="BJ19" s="63" t="b">
        <f>IF(G22="S",1)</f>
        <v>0</v>
      </c>
      <c r="BK19" s="54" t="s">
        <v>170</v>
      </c>
      <c r="BL19" s="47" t="e">
        <f>E16*100/BL15</f>
        <v>#DIV/0!</v>
      </c>
      <c r="BM19" s="72" t="e">
        <f>IF((BM4+BM6+BM8)*BH11=3,"ICMS!"," ")</f>
        <v>#DIV/0!</v>
      </c>
      <c r="BN19" s="72" t="str">
        <f>IF(BD3+BD8=2,"FASE 2 - MARGEM"," ")</f>
        <v xml:space="preserve"> </v>
      </c>
      <c r="BO19" s="72" t="e">
        <f>IF((BO4+BO6+BO8+BP9)*BH11=4,"     COF!"," ")</f>
        <v>#DIV/0!</v>
      </c>
      <c r="BP19" s="37" t="e">
        <f>(Y8-Y10)*BF7*BD12*-1</f>
        <v>#DIV/0!</v>
      </c>
      <c r="BQ19" s="37" t="e">
        <f>((R9*(1-R11)*R13)-AG11)*BK7*BK14*BF18*-1</f>
        <v>#DIV/0!</v>
      </c>
      <c r="BR19" s="37" t="s">
        <v>170</v>
      </c>
      <c r="BS19" s="55" t="s">
        <v>11</v>
      </c>
      <c r="BT19" s="65"/>
      <c r="BU19" s="56"/>
      <c r="BV19" s="56"/>
      <c r="BW19" s="56"/>
      <c r="BX19" s="56"/>
      <c r="BY19" s="56"/>
      <c r="BZ19" s="56"/>
      <c r="CA19" s="56"/>
      <c r="CB19" s="56"/>
      <c r="CC19" s="56"/>
      <c r="CD19" s="56"/>
      <c r="CE19" s="56"/>
      <c r="CF19" s="56"/>
      <c r="CG19" s="56"/>
      <c r="CH19" s="56"/>
      <c r="CI19" s="56"/>
      <c r="CJ19" s="56"/>
      <c r="CK19" s="56"/>
      <c r="CL19" s="56"/>
    </row>
    <row r="20" spans="1:90" ht="8.25" customHeight="1" x14ac:dyDescent="0.15">
      <c r="A20" s="112" t="str">
        <f>IF(G4="US","CÂMBIO      US",IF(G4="$S","CÂMBIO      $S",IF(G4="FS","CÂMBIO      FS",IF(G4="YJ","CÂMBIO      YJ",IF(G4="EP","CÂMBIO      EP",IF(G4="$O","CÂMBIO      $O",IF(G4="YC","CÂMBIO      YC",IF(G4="EU","CÂMBIO      EU"))))))))</f>
        <v>CÂMBIO      EU</v>
      </c>
      <c r="B20" s="371"/>
      <c r="C20" s="113" t="str">
        <f>IF(D20=0,"CÂMBIO US ??","CÂMBIO US")</f>
        <v>CÂMBIO US ??</v>
      </c>
      <c r="D20" s="371"/>
      <c r="E20" s="113" t="str">
        <f>IF(F20=0,"SAL MIN ???","SALÁRIO MIN.")</f>
        <v>SAL MIN ???</v>
      </c>
      <c r="F20" s="372"/>
      <c r="G20" s="373" t="e">
        <f>IF(BH11=0,"s/Fn.",CONCATENATE(BM12,BM13,BM14,BM15,BM16,BM17,BM18,BM19,BM20,BM21,BM22,BM23,BM24,BM25,BN2,BN3,BN4))</f>
        <v>#DIV/0!</v>
      </c>
      <c r="H20" s="374" t="e">
        <f>IF(BH11=0,"s/Fn.",CONCATENATE(BO12,BO13,BO14,BO15,BO16,BO17,BO18,BO19,BO20,BO21,BO22,BO23,BO24,BO25,BP2,BP3,BP4,BP5,BP6,BP7))</f>
        <v>#DIV/0!</v>
      </c>
      <c r="I20" s="112" t="s">
        <v>151</v>
      </c>
      <c r="J20" s="113" t="s">
        <v>20</v>
      </c>
      <c r="K20" s="164">
        <f>(90*G12*BE19)*BD9</f>
        <v>0</v>
      </c>
      <c r="L20" s="182" t="s">
        <v>69</v>
      </c>
      <c r="M20" s="89" t="s">
        <v>78</v>
      </c>
      <c r="N20" s="164" t="e">
        <f>N18*K14</f>
        <v>#DIV/0!</v>
      </c>
      <c r="O20" s="179" t="e">
        <f>(IF(N8="S",N20,N20)*BE18)+IF(N8="N",SUM(AG5:AG22),SUM(AG5:AG22))*BF13</f>
        <v>#DIV/0!</v>
      </c>
      <c r="P20" s="375" t="str">
        <f>IF(BH11=0," ","LCR/PRJ PÓS REVENDA")</f>
        <v>LCR/PRJ PÓS REVENDA</v>
      </c>
      <c r="Q20" s="376" t="str">
        <f>IF(BH11=0," ",G4)</f>
        <v>EU</v>
      </c>
      <c r="R20" s="377" t="e">
        <f>IF(BH11=0," ",Y22/R5/BL23)</f>
        <v>#DIV/0!</v>
      </c>
      <c r="S20" s="378"/>
      <c r="T20" s="379" t="str">
        <f>IF(BH11=0," ","LCR/PRJ PÓS REVENDA")</f>
        <v>LCR/PRJ PÓS REVENDA</v>
      </c>
      <c r="U20" s="380" t="str">
        <f>IF(BH11=0," ",G4)</f>
        <v>EU</v>
      </c>
      <c r="V20" s="381" t="e">
        <f>(IF(BD2*BH11=1,Y22/R5,IF((BD3+BD4)*BD7=1,AC22/V5,IF((BD3+BD4)*BD8=1,AD22/V5)))*BH11)/BL25</f>
        <v>#DIV/0!</v>
      </c>
      <c r="W20" s="112" t="str">
        <f>IF(BH11=1,"CPMF (IMPORT+REVND)","CPMF")</f>
        <v>CPMF (IMPORT+REVND)</v>
      </c>
      <c r="X20" s="113" t="s">
        <v>20</v>
      </c>
      <c r="Y20" s="311" t="e">
        <f>R9*H12*BF20</f>
        <v>#DIV/0!</v>
      </c>
      <c r="Z20" s="113" t="s">
        <v>20</v>
      </c>
      <c r="AA20" s="382" t="e">
        <f>Y20</f>
        <v>#DIV/0!</v>
      </c>
      <c r="AB20" s="153" t="s">
        <v>93</v>
      </c>
      <c r="AC20" s="313" t="e">
        <f>(V14-(V14*BD4*(-AZ14)))*H12*BF13*BF18</f>
        <v>#DIV/0!</v>
      </c>
      <c r="AD20" s="235">
        <f>IF((BD3+BD4)*BD8=1,(R9*BF18-(R9*BD4*(-AZ14)))*H12*BF13*BF18,0)</f>
        <v>0</v>
      </c>
      <c r="AE20" s="201" t="s">
        <v>79</v>
      </c>
      <c r="AF20" s="176"/>
      <c r="AG20" s="177">
        <f t="shared" si="0"/>
        <v>0</v>
      </c>
      <c r="AH20" s="164">
        <f>(((K16*3*BE20)+(K24*BE21)+(K16*6*BE22))*1.05)*BE15</f>
        <v>0</v>
      </c>
      <c r="AI20" s="179">
        <f>(AG20-AH20)*BF13</f>
        <v>0</v>
      </c>
      <c r="AJ20" s="180">
        <f>AI20/(AH20+BF21)</f>
        <v>0</v>
      </c>
      <c r="AK20" s="383"/>
      <c r="AL20" s="384"/>
      <c r="AM20" s="384"/>
      <c r="AN20" s="384"/>
      <c r="AO20" s="384"/>
      <c r="AP20" s="384"/>
      <c r="AQ20" s="384"/>
      <c r="AR20" s="385"/>
      <c r="AS20" s="149" t="s">
        <v>35</v>
      </c>
      <c r="AT20" s="368" t="str">
        <f>C6</f>
        <v>BB</v>
      </c>
      <c r="AU20" s="164">
        <f>IF(C7=0,0,((R9*BK3/(C7+BP13))*BD2)+((((R9*BK3/(C7+BP13))*BD8)+((V14*BK3/(C7+BP13))*BD7))*BF18))</f>
        <v>0</v>
      </c>
      <c r="AV20" s="179">
        <f>AU20*(1-((AX6/100*BF25)+(AX8/100*BG3)))*BF14*BG21</f>
        <v>0</v>
      </c>
      <c r="AW20" s="369">
        <f>IF(C7=0,0,(C7*BF14*BG13)+(AW8*BG3))</f>
        <v>0</v>
      </c>
      <c r="AX20" s="193">
        <f>C7-AW20</f>
        <v>0</v>
      </c>
      <c r="AY20" s="370">
        <f>IF(C7=0,0,BI21)*BF14</f>
        <v>0</v>
      </c>
      <c r="AZ20" s="240">
        <f>IF(C7=0,0,((AY20/(AU20+BF21))-1)*BF14*BG21)</f>
        <v>0</v>
      </c>
      <c r="BA20" s="287">
        <f>AU20*(AW20+AX20)*AZ20*BF14</f>
        <v>0</v>
      </c>
      <c r="BB20" s="1" t="s">
        <v>10</v>
      </c>
      <c r="BC20" s="43" t="e">
        <f>(((E25*BD12)+(E24*BE14))*E7*E18)/(BC16+BF21)+(E7*E8*E18/K5*BG7*BF14*BD4)</f>
        <v>#DIV/0!</v>
      </c>
      <c r="BD20" s="45" t="s">
        <v>170</v>
      </c>
      <c r="BE20" s="37" t="b">
        <f>AND(K24&gt;0,K24&lt;(3*K16))</f>
        <v>0</v>
      </c>
      <c r="BF20" s="37" t="e">
        <f>IF(SUM(B25:F25)=0,0,1)</f>
        <v>#DIV/0!</v>
      </c>
      <c r="BG20" s="37" t="b">
        <f>OR(BG7=BG19,BG22&lt;&gt;BG19)</f>
        <v>1</v>
      </c>
      <c r="BH20" s="37">
        <f>IF(BI6="Q-7",1,0)</f>
        <v>0</v>
      </c>
      <c r="BI20" s="37">
        <f>IF(BH12+BD4+BD7+BE18+BF22=5,1,0)</f>
        <v>0</v>
      </c>
      <c r="BJ20" s="48">
        <f>(B7*B11)*(1+B12)*(1+B13)*(1+B14)*(1+B15)*(1+B16)*(1+B17)*(1+B18)</f>
        <v>0</v>
      </c>
      <c r="BK20" s="49" t="s">
        <v>170</v>
      </c>
      <c r="BL20" s="47" t="e">
        <f>F16*100/BL15</f>
        <v>#DIV/0!</v>
      </c>
      <c r="BM20" s="72" t="e">
        <f>IF((BM2+BM6+BM10)*BH11=3,"IPI?"," ")</f>
        <v>#DIV/0!</v>
      </c>
      <c r="BN20" s="72" t="str">
        <f>IF(BD4+BD7=2,"FASE 3 - PREÇO"," ")</f>
        <v xml:space="preserve"> </v>
      </c>
      <c r="BO20" s="72" t="e">
        <f>IF((BO2+BO6+BO10+BP9)*BH11=4,"   PIS?"," ")</f>
        <v>#DIV/0!</v>
      </c>
      <c r="BP20" s="37" t="e">
        <f>(Y9-Y10)*BF9*BE14*-1</f>
        <v>#DIV/0!</v>
      </c>
      <c r="BQ20" s="37" t="e">
        <f>((R9*(1-R11)*R14)-AG12)*BK7*BK17*BF18*-1</f>
        <v>#DIV/0!</v>
      </c>
      <c r="BR20" s="37" t="s">
        <v>170</v>
      </c>
      <c r="BS20" s="2" t="s">
        <v>11</v>
      </c>
      <c r="BT20" s="64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</row>
    <row r="21" spans="1:90" ht="8.25" customHeight="1" x14ac:dyDescent="0.15">
      <c r="A21" s="150" t="s">
        <v>148</v>
      </c>
      <c r="B21" s="386"/>
      <c r="C21" s="113" t="s">
        <v>130</v>
      </c>
      <c r="D21" s="386"/>
      <c r="E21" s="113" t="s">
        <v>80</v>
      </c>
      <c r="F21" s="387"/>
      <c r="G21" s="388" t="s">
        <v>51</v>
      </c>
      <c r="H21" s="389" t="s">
        <v>51</v>
      </c>
      <c r="I21" s="112" t="s">
        <v>81</v>
      </c>
      <c r="J21" s="113" t="s">
        <v>20</v>
      </c>
      <c r="K21" s="164">
        <f>(((0.25*K7*K6*BE16*K14)+(((BC23+BD25+BE2)*N11*BE16*K14*1.05)+(BE23*1.05))+(0.05*K6*K7*BE16*K14))*BE15)*BD9</f>
        <v>0</v>
      </c>
      <c r="L21" s="182" t="s">
        <v>69</v>
      </c>
      <c r="M21" s="91"/>
      <c r="N21" s="339" t="str">
        <f>IF(O21="FASE 1 !!!","ACIONADA =&gt;&gt;&gt;"," ")</f>
        <v xml:space="preserve"> </v>
      </c>
      <c r="O21" s="390" t="str">
        <f>IF(BD2+BE18=1,"FASE 1 !!!"," ")</f>
        <v xml:space="preserve"> </v>
      </c>
      <c r="P21" s="391" t="s">
        <v>138</v>
      </c>
      <c r="Q21" s="392" t="s">
        <v>100</v>
      </c>
      <c r="R21" s="345" t="e">
        <f>(N19+(Y21/R6))/BL23</f>
        <v>#DIV/0!</v>
      </c>
      <c r="S21" s="362"/>
      <c r="T21" s="393" t="s">
        <v>138</v>
      </c>
      <c r="U21" s="394" t="s">
        <v>100</v>
      </c>
      <c r="V21" s="349" t="e">
        <f>IF(BH11=0,(((N20+Y21)/R6*BD2)+((O20+AC21)/V6*BD3))/BL25,(V24/R6*BD2)+(V24/V6*BF18))</f>
        <v>#DIV/0!</v>
      </c>
      <c r="W21" s="112" t="str">
        <f>IF(BH11=1,"TOTAL CUSTO REVENDA","TOTAL CUSTO IMPORT")</f>
        <v>TOTAL CUSTO REVENDA</v>
      </c>
      <c r="X21" s="113" t="s">
        <v>20</v>
      </c>
      <c r="Y21" s="395" t="e">
        <f>AA7+AA10+AA12+AA14+SUM(Y15:Y20)</f>
        <v>#DIV/0!</v>
      </c>
      <c r="Z21" s="246"/>
      <c r="AA21" s="382" t="e">
        <f>AA7+AA10+AA12+AA14+AA20</f>
        <v>#DIV/0!</v>
      </c>
      <c r="AB21" s="153" t="s">
        <v>93</v>
      </c>
      <c r="AC21" s="396" t="e">
        <f>AC6+AC8+AC9+AC11+AC13+(SUM(AC15:AC20))</f>
        <v>#DIV/0!</v>
      </c>
      <c r="AD21" s="396">
        <f>AD6+AD8+AD9+AD11+AD13+(SUM(AD15:AD20))</f>
        <v>0</v>
      </c>
      <c r="AE21" s="201" t="s">
        <v>74</v>
      </c>
      <c r="AF21" s="176"/>
      <c r="AG21" s="177">
        <f t="shared" si="0"/>
        <v>0</v>
      </c>
      <c r="AH21" s="164">
        <f>K18</f>
        <v>0</v>
      </c>
      <c r="AI21" s="179">
        <f>(AG21-AH21)*BF13</f>
        <v>0</v>
      </c>
      <c r="AJ21" s="180">
        <f>AI21/(AH21+BF21)</f>
        <v>0</v>
      </c>
      <c r="AK21" s="397"/>
      <c r="AL21" s="398"/>
      <c r="AM21" s="398"/>
      <c r="AN21" s="398"/>
      <c r="AO21" s="398"/>
      <c r="AP21" s="398"/>
      <c r="AQ21" s="398"/>
      <c r="AR21" s="399"/>
      <c r="AS21" s="149" t="s">
        <v>36</v>
      </c>
      <c r="AT21" s="368" t="str">
        <f>D6</f>
        <v>CC</v>
      </c>
      <c r="AU21" s="164">
        <f>IF(D7=0,0,((R9*BK4/(D7+BP13))*BD2)+((((R9*BK4/(D7+BP13))*BD8)+((V14*BK4/(D7+BP13))*BD7))*BF18))</f>
        <v>0</v>
      </c>
      <c r="AV21" s="179">
        <f>AU21*(1-((AX6/100*BF25)+(AX9/100*BG4)))*BF14*BG21</f>
        <v>0</v>
      </c>
      <c r="AW21" s="369">
        <f>IF(D7=0,0,(D7*BF14*BG14)+(AW9*BG4))</f>
        <v>0</v>
      </c>
      <c r="AX21" s="193">
        <f>D7-AW21</f>
        <v>0</v>
      </c>
      <c r="AY21" s="370">
        <f>IF(D7=0,0,BI22)*BF14</f>
        <v>0</v>
      </c>
      <c r="AZ21" s="240">
        <f>IF(D7=0,0,((AY21/(AU21+BF21))-1)*BF14*BG21)</f>
        <v>0</v>
      </c>
      <c r="BA21" s="287">
        <f>AU21*(AW21+AX21)*AZ21*BF14</f>
        <v>0</v>
      </c>
      <c r="BB21" s="1" t="s">
        <v>10</v>
      </c>
      <c r="BC21" s="43" t="e">
        <f>(((F25*BD12)+(F24*BE14))*F7*F18)/(BC16+BF21)+(F7*F8*F18/K5*BG7*BF14*BD4)</f>
        <v>#DIV/0!</v>
      </c>
      <c r="BD21" s="10" t="str">
        <f>IF(BF13*BH11=0,"SITUAÇÃO &gt;&gt; FASE 1 &lt;&lt;","SITUAÇÃO &gt;&gt; FASE 2 &lt;&lt;")</f>
        <v>SITUAÇÃO &gt;&gt; FASE 1 &lt;&lt;</v>
      </c>
      <c r="BE21" s="37" t="b">
        <f>AND(K24&gt;=(3*K16),K24&lt;(6*K16))</f>
        <v>0</v>
      </c>
      <c r="BF21" s="37">
        <f>1/1E+21</f>
        <v>9.9999999999999991E-22</v>
      </c>
      <c r="BG21" s="37" t="b">
        <f>BG7&lt;&gt;1</f>
        <v>1</v>
      </c>
      <c r="BH21" s="38" t="e">
        <f>((AV22*AW22)+(AU22*AX22))/E7</f>
        <v>#DIV/0!</v>
      </c>
      <c r="BI21" s="38" t="e">
        <f>((AV20*AW20)+(AU20*AX20))/C7</f>
        <v>#DIV/0!</v>
      </c>
      <c r="BJ21" s="48">
        <f>(C7*C11)*(1+C12)*(1+C13)*(1+C14)*(1+C15)*(1+C16)*(1+C17)*(1+C18)</f>
        <v>0</v>
      </c>
      <c r="BK21" s="49" t="s">
        <v>170</v>
      </c>
      <c r="BL21" s="37" t="e">
        <f>SUM(BL16:BL20)</f>
        <v>#DIV/0!</v>
      </c>
      <c r="BM21" s="72" t="e">
        <f>IF((BM3+BM5+BM11)*BH11=3,"ICMS?   "," ")</f>
        <v>#DIV/0!</v>
      </c>
      <c r="BN21" s="76" t="str">
        <f>IF(BD4+BD8=2,"FASE 3 - MARGEM"," ")</f>
        <v xml:space="preserve"> </v>
      </c>
      <c r="BO21" s="72" t="e">
        <f>IF((BO3+BO5+BO11+BP9)*BH11=4," COF?"," ")</f>
        <v>#DIV/0!</v>
      </c>
      <c r="BP21" s="37" t="e">
        <f>(Y11-Y12)*BK7*BK14*-1</f>
        <v>#DIV/0!</v>
      </c>
      <c r="BQ21" s="37" t="b">
        <f>BL4=0</f>
        <v>1</v>
      </c>
      <c r="BR21" s="37" t="s">
        <v>170</v>
      </c>
      <c r="BS21" s="2" t="s">
        <v>11</v>
      </c>
      <c r="BT21" s="64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</row>
    <row r="22" spans="1:90" ht="8.25" customHeight="1" x14ac:dyDescent="0.15">
      <c r="A22" s="150" t="s">
        <v>82</v>
      </c>
      <c r="B22" s="400"/>
      <c r="C22" s="113" t="str">
        <f>IF(BL4=1,"s/ Função=&gt;&gt;&gt;","MARGEM =&gt;&gt;&gt;")</f>
        <v>MARGEM =&gt;&gt;&gt;</v>
      </c>
      <c r="D22" s="401">
        <v>0</v>
      </c>
      <c r="E22" s="172" t="s">
        <v>209</v>
      </c>
      <c r="F22" s="402" t="e">
        <f>(N22*((BD2*BD7)+(BD3*BD8*BF13)+(BD4*BD8*BF13*BF14)))+(O22*((BD3*BD7*BF13)+(BD4*BD7*BF13*BF14)))</f>
        <v>#DIV/0!</v>
      </c>
      <c r="G22" s="403" t="s">
        <v>51</v>
      </c>
      <c r="H22" s="404" t="s">
        <v>248</v>
      </c>
      <c r="I22" s="112" t="s">
        <v>83</v>
      </c>
      <c r="J22" s="113" t="s">
        <v>20</v>
      </c>
      <c r="K22" s="164" t="e">
        <f>((((BE3+BE4+BE5)*(N11*(K14/K15))*BE17)*BD9)+(0.015*B19*BF24)+(1.5*BF23))*K15</f>
        <v>#DIV/0!</v>
      </c>
      <c r="L22" s="182" t="s">
        <v>69</v>
      </c>
      <c r="M22" s="123" t="s">
        <v>128</v>
      </c>
      <c r="N22" s="395" t="e">
        <f>N18/K5</f>
        <v>#DIV/0!</v>
      </c>
      <c r="O22" s="405" t="e">
        <f>IF(N8="N",O20/K5/K14,O18/K5)</f>
        <v>#DIV/0!</v>
      </c>
      <c r="P22" s="360" t="str">
        <f>IF(BH11=0,"CUSTO TOTAL","VALOR REVENDA")</f>
        <v>VALOR REVENDA</v>
      </c>
      <c r="Q22" s="406" t="s">
        <v>100</v>
      </c>
      <c r="R22" s="361" t="e">
        <f>IF(BH11=0,R21,N19/(1-R7)/BL23)</f>
        <v>#DIV/0!</v>
      </c>
      <c r="S22" s="362"/>
      <c r="T22" s="363" t="str">
        <f>IF(BH11=0,"CUSTO TOTAL","VALOR REVENDA")</f>
        <v>VALOR REVENDA</v>
      </c>
      <c r="U22" s="173" t="s">
        <v>100</v>
      </c>
      <c r="V22" s="365" t="e">
        <f>IF(BH11=0,(((N20+Y21)/R6*BD2)+((O20+AC21)/V6*BD3))/BL25,(V25/R6*BD2)+(V25/V6*BF18))</f>
        <v>#DIV/0!</v>
      </c>
      <c r="W22" s="112" t="s">
        <v>181</v>
      </c>
      <c r="X22" s="113" t="s">
        <v>20</v>
      </c>
      <c r="Y22" s="395" t="e">
        <f>(R9-N20-Y21)*BF20*BH11</f>
        <v>#DIV/0!</v>
      </c>
      <c r="Z22" s="118"/>
      <c r="AA22" s="407" t="s">
        <v>176</v>
      </c>
      <c r="AB22" s="153" t="s">
        <v>20</v>
      </c>
      <c r="AC22" s="405">
        <f>(IF(BD3=1,V14-O20-AC21,IF(BD4=1,V14+BA14-O20-AC21)))*BH11</f>
        <v>0</v>
      </c>
      <c r="AD22" s="408" t="e">
        <f>(IF(BD3*BD8=1,(R9-O20-AD21),(R9+BA14-O20-AD21)))*BD8</f>
        <v>#DIV/0!</v>
      </c>
      <c r="AE22" s="168" t="s">
        <v>84</v>
      </c>
      <c r="AF22" s="176"/>
      <c r="AG22" s="177">
        <f t="shared" si="0"/>
        <v>0</v>
      </c>
      <c r="AH22" s="409">
        <v>0</v>
      </c>
      <c r="AI22" s="410">
        <f>(AG22-AH22)*BF13</f>
        <v>0</v>
      </c>
      <c r="AJ22" s="411" t="s">
        <v>85</v>
      </c>
      <c r="AK22" s="397"/>
      <c r="AL22" s="398"/>
      <c r="AM22" s="398"/>
      <c r="AN22" s="398"/>
      <c r="AO22" s="398"/>
      <c r="AP22" s="398"/>
      <c r="AQ22" s="398"/>
      <c r="AR22" s="399"/>
      <c r="AS22" s="149" t="s">
        <v>37</v>
      </c>
      <c r="AT22" s="368" t="str">
        <f>E6</f>
        <v>DD</v>
      </c>
      <c r="AU22" s="164">
        <f>IF(E7=0,0,((R9*BK5/(E7+BP13))*BD2)+((((R9*BK5/(E7+BP13))*BD8)+((V14*BK5/(E7+BP13))*BD7))*BF18))</f>
        <v>0</v>
      </c>
      <c r="AV22" s="179">
        <f>AU22*(1-((AX6/100*BF25)+(AX10/100*BG5)))*BF14*BG21</f>
        <v>0</v>
      </c>
      <c r="AW22" s="369">
        <f>IF(E7=0,0,(E7*BF14*BG15)+(AW10*BG5))</f>
        <v>0</v>
      </c>
      <c r="AX22" s="193">
        <f>E7-AW22</f>
        <v>0</v>
      </c>
      <c r="AY22" s="370">
        <f>IF(E7=0,0,BH21)*BF14</f>
        <v>0</v>
      </c>
      <c r="AZ22" s="240">
        <f>IF(E7=0,0,((AY22/(AU22+BF21))-1)*BF14*BG21)</f>
        <v>0</v>
      </c>
      <c r="BA22" s="287">
        <f>AU22*(AW22+AX22)*AZ22*BF14</f>
        <v>0</v>
      </c>
      <c r="BB22" s="1" t="s">
        <v>10</v>
      </c>
      <c r="BC22" s="44" t="e">
        <f>SUM(BC17:BC21)</f>
        <v>#DIV/0!</v>
      </c>
      <c r="BD22" s="79" t="str">
        <f>IF(BH4=0," ",IF(H25="P","BASE PREÇO",IF(H25="M","BASE PREÇO (REF)")))</f>
        <v xml:space="preserve"> </v>
      </c>
      <c r="BE22" s="37" t="b">
        <f>NOT(K24&lt;(6*K16))</f>
        <v>1</v>
      </c>
      <c r="BF22" s="40">
        <f>IF(AV3=" ",0,IF(AV3="N",0,1))</f>
        <v>0</v>
      </c>
      <c r="BG22" s="37">
        <v>0</v>
      </c>
      <c r="BH22" s="38" t="e">
        <f>((AV23*AW23)+(AU23*AX23))/F7</f>
        <v>#DIV/0!</v>
      </c>
      <c r="BI22" s="38" t="e">
        <f>((AV21*AW21)+(AU21*AX21))/D7</f>
        <v>#DIV/0!</v>
      </c>
      <c r="BJ22" s="48">
        <f>(D7*D11)*(1+D12)*(1+D13)*(1+D14)*(1+D15)*(1+D16)*(1+D17)*(1+D18)</f>
        <v>0</v>
      </c>
      <c r="BK22" s="49" t="s">
        <v>170</v>
      </c>
      <c r="BL22" s="37" t="b">
        <f>IF(BE24=0,1)</f>
        <v>0</v>
      </c>
      <c r="BM22" s="72" t="e">
        <f>IF((BM4+BM7+BM11)*BH11=3,"s/Fn.    "," ")</f>
        <v>#DIV/0!</v>
      </c>
      <c r="BN22" s="37">
        <f>IF(SUM(AW7:AW11)=0,1,0)</f>
        <v>1</v>
      </c>
      <c r="BO22" s="72" t="e">
        <f>IF((BO4+BO7+BO11+BP9)*BH11=4,"s/Fn. "," ")</f>
        <v>#DIV/0!</v>
      </c>
      <c r="BP22" s="37" t="e">
        <f>(Y13-Y14)*BK7*BK17*-1</f>
        <v>#DIV/0!</v>
      </c>
      <c r="BQ22" s="37" t="s">
        <v>170</v>
      </c>
      <c r="BR22" s="37" t="s">
        <v>170</v>
      </c>
      <c r="BS22" s="2" t="s">
        <v>11</v>
      </c>
      <c r="BT22" s="64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</row>
    <row r="23" spans="1:90" ht="8.25" customHeight="1" x14ac:dyDescent="0.15">
      <c r="A23" s="125" t="str">
        <f>IF(G4="US","FATOR  US/R$",IF(G4="$S","FATOR  $S/R$",IF(G4="FS","FATOR  FS/R$",IF(G4="YJ","FATOR  YJ/R$",IF(G4="EP","FATOR  EP/R$",IF(G4="$O","FATOR  $O/R$",IF(G4="YC","FATOR  YC/R$",IF(G4="EU","FATOR  EU/R$"))))))))</f>
        <v>FATOR  EU/R$</v>
      </c>
      <c r="B23" s="412" t="e">
        <f>((((R9/K5*((BD2*BD7)+(BD3*BD8*BF13)+(BD4*BD8*BF13*BF14)))+(V15*((BD3*BD7*BF13)+(BD4*BD7*BF13*BF14))))*BH9)+(AV14/K5*BD10*BD6))+((IF(B11=0,0,B25/B11*BC3)+IF(C11=0,0,C25/C11*BC4)+IF(D11=0,0,D25/D11*BC5)+IF(E11=0,0,E25/E11*BC6)+IF(F11=0,0,F25/F11*BC7))*BL4)</f>
        <v>#DIV/0!</v>
      </c>
      <c r="C23" s="124" t="e">
        <f>IF(D23&lt;0,"PREJUÍZO !!!","LUCRO BRUTO")</f>
        <v>#DIV/0!</v>
      </c>
      <c r="D23" s="413" t="e">
        <f>IF(BD2=1,Y23*BQ21,IF((BD3+BD4)*BD7*BQ21=1,AC23,IF((BD3+BD4)*BD8*BQ21=1,AD23,IF(BL4=1,0))))</f>
        <v>#DIV/0!</v>
      </c>
      <c r="E23" s="414" t="str">
        <f>IF(BH11=0,"CSTO TOT R$","REVNDA TOT R$")</f>
        <v>REVNDA TOT R$</v>
      </c>
      <c r="F23" s="415" t="e">
        <f>((R9+(BA14*BD4))*((BD2*BD7)+(BD3*BD8*BF13)+(BD4*BD8*BF13*BF14)))+((V14+(BA14*BD4))*((BD3*BD7*BF13)+(BD4*BD7*BF13*BF14)))</f>
        <v>#DIV/0!</v>
      </c>
      <c r="G23" s="416" t="s">
        <v>249</v>
      </c>
      <c r="H23" s="417"/>
      <c r="I23" s="112" t="s">
        <v>152</v>
      </c>
      <c r="J23" s="113" t="s">
        <v>20</v>
      </c>
      <c r="K23" s="164">
        <f>(0.5*K16*BE19)*BD9</f>
        <v>0</v>
      </c>
      <c r="L23" s="182" t="s">
        <v>69</v>
      </c>
      <c r="M23" s="89" t="s">
        <v>154</v>
      </c>
      <c r="N23" s="418" t="str">
        <f>IF(BD2=1," ",IF(BD2+BD7=1,"INCLUSO NO CSTO",IF(BD2+BD8=1,"EXCLUSO NO CSTO")))</f>
        <v xml:space="preserve"> </v>
      </c>
      <c r="O23" s="419">
        <f>IF(BD2=1,0,AI24)</f>
        <v>0</v>
      </c>
      <c r="P23" s="375" t="str">
        <f>IF(BH11=0," ","LCR/PRJ PÓS REVENDA")</f>
        <v>LCR/PRJ PÓS REVENDA</v>
      </c>
      <c r="Q23" s="420" t="str">
        <f>IF(BH11=0," ","US")</f>
        <v>US</v>
      </c>
      <c r="R23" s="377" t="e">
        <f>IF(BH11=0," ",Y22/R6/BL23)</f>
        <v>#DIV/0!</v>
      </c>
      <c r="S23" s="421"/>
      <c r="T23" s="379" t="str">
        <f>IF(BH11=0," ","LCR/PRJ PÓS REVENDA")</f>
        <v>LCR/PRJ PÓS REVENDA</v>
      </c>
      <c r="U23" s="422" t="str">
        <f>IF(BH11=0," ","US")</f>
        <v>US</v>
      </c>
      <c r="V23" s="381" t="e">
        <f>(IF(BD2*BH11=1,Y22/R6,IF((BD3+BD4)*BD7=1,AC22/V6,IF((BD3+BD4)*BD8=1,AD22/V6)))*BH11)/BL25</f>
        <v>#DIV/0!</v>
      </c>
      <c r="W23" s="112" t="s">
        <v>181</v>
      </c>
      <c r="X23" s="113" t="s">
        <v>20</v>
      </c>
      <c r="Y23" s="423" t="e">
        <f>Y22/R9</f>
        <v>#DIV/0!</v>
      </c>
      <c r="Z23" s="118"/>
      <c r="AA23" s="125" t="s">
        <v>176</v>
      </c>
      <c r="AB23" s="153" t="s">
        <v>20</v>
      </c>
      <c r="AC23" s="424" t="e">
        <f>IF(BD3+BD7=2,AC22/V14,AC22/(V14*(1+AZ14)))</f>
        <v>#DIV/0!</v>
      </c>
      <c r="AD23" s="425" t="e">
        <f>IF(BD3+BD8=2,AD22/R9,AD22/(R9*(1+AZ14)))</f>
        <v>#DIV/0!</v>
      </c>
      <c r="AE23" s="426" t="s">
        <v>175</v>
      </c>
      <c r="AF23" s="176"/>
      <c r="AG23" s="177">
        <f t="shared" si="0"/>
        <v>0</v>
      </c>
      <c r="AH23" s="427">
        <f>D20</f>
        <v>0</v>
      </c>
      <c r="AI23" s="428">
        <f>(AG23-AH23)*BF15</f>
        <v>0</v>
      </c>
      <c r="AJ23" s="429">
        <f>AI23/(AH23+BF21)</f>
        <v>0</v>
      </c>
      <c r="AK23" s="430"/>
      <c r="AL23" s="398"/>
      <c r="AM23" s="398"/>
      <c r="AN23" s="398"/>
      <c r="AO23" s="398"/>
      <c r="AP23" s="398"/>
      <c r="AQ23" s="398"/>
      <c r="AR23" s="399"/>
      <c r="AS23" s="149" t="s">
        <v>38</v>
      </c>
      <c r="AT23" s="368" t="str">
        <f>F6</f>
        <v>EE</v>
      </c>
      <c r="AU23" s="164">
        <f>IF(F7=0,0,((R9*BK6/(F7+BP13))*BD2)+((((R9*BK6/(F7+BP13))*BD8)+((V14*BK6/(F7+BP13))*BD7))*BF18))</f>
        <v>0</v>
      </c>
      <c r="AV23" s="179">
        <f>AU23*(1-((AX6/100*BF25)+(AX11/100*BG6)))*BF14*BG21</f>
        <v>0</v>
      </c>
      <c r="AW23" s="369">
        <f>IF(F7=0,0,(F7*BF14*BG16)+(AW11*BG6))</f>
        <v>0</v>
      </c>
      <c r="AX23" s="193">
        <f>F7-AW23</f>
        <v>0</v>
      </c>
      <c r="AY23" s="370">
        <f>IF(F7=0,0,BH22)*BF14</f>
        <v>0</v>
      </c>
      <c r="AZ23" s="240">
        <f>IF(F7=0,0,((AY23/(AU23+BF21))-1)*BF14*BG21)</f>
        <v>0</v>
      </c>
      <c r="BA23" s="287">
        <f>AU23*(AW23+AX23)*AZ23*BF14</f>
        <v>0</v>
      </c>
      <c r="BB23" s="1" t="s">
        <v>10</v>
      </c>
      <c r="BC23" s="45">
        <f>AND(G14&lt;=10)*0.0035*BE6</f>
        <v>0</v>
      </c>
      <c r="BD23" s="37">
        <f>IF(N11&gt;N10,1,0)</f>
        <v>0</v>
      </c>
      <c r="BE23" s="42" t="b">
        <f>IF(D19&gt;0,138.14)</f>
        <v>0</v>
      </c>
      <c r="BF23" s="37" t="b">
        <f>IF(F19&gt;0,IF(B19&lt;=100,1,0))</f>
        <v>0</v>
      </c>
      <c r="BG23" s="38" t="s">
        <v>170</v>
      </c>
      <c r="BH23" s="77" t="str">
        <f>IF(BD12+BE14+BH12+BD2+BD7+BE18+BH13=5,"OK!","")</f>
        <v>OK!</v>
      </c>
      <c r="BI23" s="38" t="e">
        <f>((AV19*AW19)+(AU19*AX19))/B7</f>
        <v>#DIV/0!</v>
      </c>
      <c r="BJ23" s="48">
        <f>(E7*E11)*(1+E12)*(1+E13)*(1+E14)*(1+E15)*(1+E16)*(1+E17)*(1+E18)</f>
        <v>0</v>
      </c>
      <c r="BK23" s="49">
        <f>IF(G17="LP",1,0)</f>
        <v>0</v>
      </c>
      <c r="BL23" s="38">
        <f>IF(Q16="S",K5,1)</f>
        <v>1</v>
      </c>
      <c r="BM23" s="72" t="e">
        <f>IF((BM4+BM7+BM10)*BH11=3,"s/Fn.      "," ")</f>
        <v>#DIV/0!</v>
      </c>
      <c r="BN23" s="37" t="s">
        <v>170</v>
      </c>
      <c r="BO23" s="72" t="e">
        <f>IF((BO4+BO7+BO10+BP9)*BH11=4,"s/Fn.   "," ")</f>
        <v>#DIV/0!</v>
      </c>
      <c r="BP23" s="37" t="s">
        <v>170</v>
      </c>
      <c r="BQ23" s="37" t="s">
        <v>170</v>
      </c>
      <c r="BR23" s="37" t="s">
        <v>170</v>
      </c>
      <c r="BS23" s="2" t="s">
        <v>11</v>
      </c>
      <c r="BT23" s="64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</row>
    <row r="24" spans="1:90" ht="8.25" customHeight="1" x14ac:dyDescent="0.15">
      <c r="A24" s="125" t="str">
        <f>IF(BH11=1,"R$ / UNID  s/IPI","sem Função")</f>
        <v>R$ / UNID  s/IPI</v>
      </c>
      <c r="B24" s="431" t="e">
        <f>B25/(B17+1)*BH11</f>
        <v>#DIV/0!</v>
      </c>
      <c r="C24" s="432" t="e">
        <f>C25/(C17+1)*BH11</f>
        <v>#DIV/0!</v>
      </c>
      <c r="D24" s="431" t="e">
        <f>D25/(D17+1)*BH11</f>
        <v>#DIV/0!</v>
      </c>
      <c r="E24" s="433" t="e">
        <f>E25/(E17+1)*BH11</f>
        <v>#DIV/0!</v>
      </c>
      <c r="F24" s="432" t="e">
        <f>F25/(F17+1)*BH11</f>
        <v>#DIV/0!</v>
      </c>
      <c r="G24" s="373" t="str">
        <f>IF(H24="Q-5","??=&gt;",IF(H24="Q-7","??=&gt;",IF(H24="s/Fn.","??=&gt;","OK!")))</f>
        <v>OK!</v>
      </c>
      <c r="H24" s="434" t="str">
        <f>CONCATENATE(BH23,BH24,BH25,BI2,BI3,BI4,BI5,BI6,BI7,BI8,BI9,BI10)</f>
        <v>OK!</v>
      </c>
      <c r="I24" s="112" t="s">
        <v>153</v>
      </c>
      <c r="J24" s="113" t="s">
        <v>20</v>
      </c>
      <c r="K24" s="164">
        <f>(0.005*(N10*K14)*BE11)*BD9</f>
        <v>0</v>
      </c>
      <c r="L24" s="182" t="s">
        <v>69</v>
      </c>
      <c r="M24" s="123" t="str">
        <f>IF(G4="US","EM US",IF(G4="$S","EM $S",IF(G4="FS","EM FS",IF(G4="YJ","EM YJ",IF(G4="EP","EM EP",IF(G4="$O","EM $O",IF(G4="YC","EM YC",IF(G4="EU","EM EU"))))))))</f>
        <v>EM EU</v>
      </c>
      <c r="N24" s="124" t="str">
        <f>IF(N23=" "," ","=&gt;&gt;&gt;")</f>
        <v xml:space="preserve"> </v>
      </c>
      <c r="O24" s="419" t="e">
        <f>O23/V5</f>
        <v>#DIV/0!</v>
      </c>
      <c r="P24" s="391" t="s">
        <v>138</v>
      </c>
      <c r="Q24" s="344" t="s">
        <v>69</v>
      </c>
      <c r="R24" s="345" t="e">
        <f>(N20+Y21)/BL23</f>
        <v>#DIV/0!</v>
      </c>
      <c r="S24" s="346"/>
      <c r="T24" s="393" t="s">
        <v>138</v>
      </c>
      <c r="U24" s="348" t="s">
        <v>69</v>
      </c>
      <c r="V24" s="349" t="e">
        <f>(IF(BH11=0,((N20+Y21)*BD2)+((O20+AC21)*BD3),((N20+Y21)*BD2)+((O20+AC21)*((BD3+BD4)*BD7))+((O20+AD21)*((BD3+BD4)*BD8))))/BL25</f>
        <v>#DIV/0!</v>
      </c>
      <c r="W24" s="96" t="str">
        <f>IF(Y24=" "," ","SITUAÇÃO EM")</f>
        <v>SITUAÇÃO EM</v>
      </c>
      <c r="X24" s="156" t="str">
        <f>IF(W24=" "," ","=&gt;")</f>
        <v>=&gt;</v>
      </c>
      <c r="Y24" s="435" t="str">
        <f>IF(G16="D"," ",IF(G17=" ","H25 ???",IF(G17="LR","   LUCRO REAL",IF(G17="LP","LUCRO PRESUMIDO"))))</f>
        <v xml:space="preserve">   LUCRO REAL</v>
      </c>
      <c r="Z24" s="436"/>
      <c r="AA24" s="125" t="s">
        <v>232</v>
      </c>
      <c r="AB24" s="153" t="s">
        <v>20</v>
      </c>
      <c r="AC24" s="313" t="e">
        <f>(V14-R9)*(BD3+BD4)*BH11</f>
        <v>#DIV/0!</v>
      </c>
      <c r="AD24" s="235" t="e">
        <f>R9-R9</f>
        <v>#DIV/0!</v>
      </c>
      <c r="AE24" s="437" t="s">
        <v>34</v>
      </c>
      <c r="AF24" s="153" t="s">
        <v>85</v>
      </c>
      <c r="AG24" s="257" t="e">
        <f>SUM(AG5:AG22)*BF13</f>
        <v>#DIV/0!</v>
      </c>
      <c r="AH24" s="244" t="e">
        <f>SUM(AH5:AH22)</f>
        <v>#DIV/0!</v>
      </c>
      <c r="AI24" s="257" t="e">
        <f>(AG24-AH24)*(BF13*BG25)</f>
        <v>#DIV/0!</v>
      </c>
      <c r="AJ24" s="438" t="e">
        <f>AI24/AH24</f>
        <v>#DIV/0!</v>
      </c>
      <c r="AK24" s="397"/>
      <c r="AL24" s="398"/>
      <c r="AM24" s="398"/>
      <c r="AN24" s="398"/>
      <c r="AO24" s="398"/>
      <c r="AP24" s="439"/>
      <c r="AQ24" s="439"/>
      <c r="AR24" s="440"/>
      <c r="AS24" s="91"/>
      <c r="AT24" s="91"/>
      <c r="AU24" s="104"/>
      <c r="AV24" s="100"/>
      <c r="AW24" s="105"/>
      <c r="AX24" s="105"/>
      <c r="AY24" s="104"/>
      <c r="AZ24" s="91"/>
      <c r="BA24" s="104"/>
      <c r="BB24" s="1" t="s">
        <v>10</v>
      </c>
      <c r="BC24" s="37" t="b">
        <f>IF(F19&gt;0,IF(G14&gt;20,0,1))</f>
        <v>0</v>
      </c>
      <c r="BD24" s="37" t="b">
        <f>IF(D19&gt;0,IF(G14&gt;30,0,1))</f>
        <v>0</v>
      </c>
      <c r="BE24" s="37">
        <f>IF(H10="S",1,0)</f>
        <v>1</v>
      </c>
      <c r="BF24" s="37" t="b">
        <f>IF(F19&gt;0,IF(B19&gt;100,1,0))</f>
        <v>0</v>
      </c>
      <c r="BG24" s="37">
        <f>IF(BD12+BE14+BH12+BD4+BD8+BF13+BF22+BG7=6,1,0)</f>
        <v>0</v>
      </c>
      <c r="BH24" s="72" t="str">
        <f>IF(BD12+BE14+BH12+BD2+BD3+BD7+BD8+BF13+BH13-BH19-BI11=5,"OK!","")</f>
        <v/>
      </c>
      <c r="BI24" s="37" t="s">
        <v>170</v>
      </c>
      <c r="BJ24" s="48">
        <f>(F7*F11)*(1+F12)*(1+F13)*(1+F14)*(1+F15)*(1+F16)*(1+F17)*(1+F18)</f>
        <v>0</v>
      </c>
      <c r="BK24" s="49" t="s">
        <v>170</v>
      </c>
      <c r="BL24" s="37" t="s">
        <v>170</v>
      </c>
      <c r="BM24" s="73" t="e">
        <f>IF((BM2+BM7+BM10)*BH11=3,"SouN?         "," ")</f>
        <v>#DIV/0!</v>
      </c>
      <c r="BN24" s="37" t="s">
        <v>170</v>
      </c>
      <c r="BO24" s="72" t="e">
        <f>IF((BO2+BO7+BO10+BP9)*BH11=4,"SouN?     "," ")</f>
        <v>#DIV/0!</v>
      </c>
      <c r="BP24" s="37" t="s">
        <v>170</v>
      </c>
      <c r="BQ24" s="37" t="s">
        <v>170</v>
      </c>
      <c r="BR24" s="37" t="s">
        <v>170</v>
      </c>
      <c r="BS24" s="2" t="s">
        <v>11</v>
      </c>
      <c r="BT24" s="64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</row>
    <row r="25" spans="1:90" ht="8.25" customHeight="1" x14ac:dyDescent="0.15">
      <c r="A25" s="125" t="str">
        <f>IF(BH11=1,"R$ / UNID c/IPI","R$ / UNIDADE")</f>
        <v>R$ / UNID c/IPI</v>
      </c>
      <c r="B25" s="441" t="e">
        <f>((R9*BK2/B7*((BD2*BD7)+(BD3*BD8*BF13)+(BD4*BD8*BF13*BF14*BG21)))+(V14*BK2/(IF(B7=" ",1,B7))*((BD3*BD7*BF13)+(BD4*BD7*BF13*BF14*BG21)))+(BA19/(B7+BF21)*BH2*BD10))</f>
        <v>#DIV/0!</v>
      </c>
      <c r="C25" s="442" t="e">
        <f>((R9*BK3/(IF(C7=" ",1,C7))*((BD2*BD7)+(BD3*BD8*BF13)+(BD4*BD8*BF13*BF14*BG21)))+(V14*BK3/(IF(C7=" ",1,C7))*((BD3*BD7*BF13)+(BD4*BD7*BF13*BF14*BG21)))+(BA20/(C7+BF21)*BH2*BD10)+(BD6*BF21))</f>
        <v>#DIV/0!</v>
      </c>
      <c r="D25" s="441" t="e">
        <f>((R9*BK4/(IF(D7=" ",1,D7))*((BD2*BD7)+(BD3*BD8*BF13)+(BD4*BD8*BF13*BF14*BG21)))+(V14*BK4/(IF(D7=" ",1,D7))*((BD3*BD7*BF13)+(BD4*BD7*BF13*BF14*BG21)))+(BA21/(D7+BF21)*BH2*BD10)+(BD6*BF21))</f>
        <v>#DIV/0!</v>
      </c>
      <c r="E25" s="442" t="e">
        <f>((R9*BK5/(IF(E7=" ",1,E7))*((BD2*BD7)+(BD3*BD8*BF13)+(BD4*BD8*BF13*BF14*BG21)))+(V14*BK5/(IF(E7=" ",1,E7))*((BD3*BD7*BF13)+(BD4*BD7*BF13*BF14*BG21)))+(BA22/(E7+BF21)*BH2*BD10)+(BD6*BF21))</f>
        <v>#DIV/0!</v>
      </c>
      <c r="F25" s="443" t="e">
        <f>((R9*BK6/(IF(F7=" ",1,F7))*((BD2*BD7)+(BD3*BD8*BF13)+(BD4*BD8*BF13*BF14*BG21)))+(V14*BK6/(IF(F7=" ",1,F7))*((BD3*BD7*BF13)+(BD4*BD7*BF13*BF14*BG21)))+(BA23/(F7+BF21)*BH2*BD10)+(BD6*BF21))</f>
        <v>#DIV/0!</v>
      </c>
      <c r="G25" s="388">
        <v>1</v>
      </c>
      <c r="H25" s="444" t="s">
        <v>189</v>
      </c>
      <c r="I25" s="231"/>
      <c r="J25" s="231"/>
      <c r="K25" s="231"/>
      <c r="L25" s="231"/>
      <c r="M25" s="123" t="s">
        <v>180</v>
      </c>
      <c r="N25" s="407" t="str">
        <f>IF(BD7*BH11=1,"          PREÇO ",IF(BD8*BH11=1,"         MARGEM ",IF(BL4=1," IMPORTAÇÃO DIRETA")))</f>
        <v xml:space="preserve">          PREÇO </v>
      </c>
      <c r="O25" s="133"/>
      <c r="P25" s="360" t="str">
        <f>IF(BH11=0,"CUSTO TOTAL","VALOR REVENDA")</f>
        <v>VALOR REVENDA</v>
      </c>
      <c r="Q25" s="195" t="s">
        <v>69</v>
      </c>
      <c r="R25" s="361" t="e">
        <f>IF(BH11=0,R24,N20/(1-R7)/BL23)</f>
        <v>#DIV/0!</v>
      </c>
      <c r="S25" s="445"/>
      <c r="T25" s="363" t="str">
        <f>IF(BH11=0,"CUSTO TOTAL","VALOR REVENDA")</f>
        <v>VALOR REVENDA</v>
      </c>
      <c r="U25" s="364" t="s">
        <v>69</v>
      </c>
      <c r="V25" s="365" t="e">
        <f>(IF(BD2*BH11=1,(N20+Y21+Y22),IF((BD3+BD4)*BD7*BH11=1,(O20+AC21+AC22),IF((BD3+BD4)*BD8*BH11=1,(O20+AD21+AD22),((N20+Y21)*BD2)+((O20+AC21)*BD3)))))/BL25</f>
        <v>#DIV/0!</v>
      </c>
      <c r="W25" s="421" t="s">
        <v>123</v>
      </c>
      <c r="X25" s="122" t="s">
        <v>93</v>
      </c>
      <c r="Y25" s="156" t="str">
        <f>IF(G16="C","CONSUMIDOR",IF(G16="R","REVENDEDOR",IF(G16="D","IMPORT DIRETO")))</f>
        <v>CONSUMIDOR</v>
      </c>
      <c r="Z25" s="91"/>
      <c r="AA25" s="125" t="s">
        <v>233</v>
      </c>
      <c r="AB25" s="124" t="s">
        <v>20</v>
      </c>
      <c r="AC25" s="313" t="e">
        <f>((V14*(1+AZ14))-V14)*(BD3+BD4)*BD8*BH11</f>
        <v>#DIV/0!</v>
      </c>
      <c r="AD25" s="235" t="e">
        <f>((R9*(1+AZ14))-R9)*BD4*BD8*BH11</f>
        <v>#DIV/0!</v>
      </c>
      <c r="AE25" s="446" t="s">
        <v>87</v>
      </c>
      <c r="AF25" s="153" t="s">
        <v>85</v>
      </c>
      <c r="AG25" s="257">
        <f>(AG5+AG6)*BF13</f>
        <v>0</v>
      </c>
      <c r="AH25" s="244">
        <f>AH5+AH6</f>
        <v>0</v>
      </c>
      <c r="AI25" s="150" t="s">
        <v>184</v>
      </c>
      <c r="AJ25" s="447" t="e">
        <f>AH25/R9</f>
        <v>#DIV/0!</v>
      </c>
      <c r="AK25" s="448"/>
      <c r="AL25" s="449"/>
      <c r="AM25" s="449"/>
      <c r="AN25" s="449"/>
      <c r="AO25" s="449"/>
      <c r="AP25" s="439"/>
      <c r="AQ25" s="439"/>
      <c r="AR25" s="450"/>
      <c r="AS25" s="96" t="s">
        <v>122</v>
      </c>
      <c r="AT25" s="96"/>
      <c r="AU25" s="451" t="str">
        <f>AM3</f>
        <v>FASE 1</v>
      </c>
      <c r="AV25" s="339" t="str">
        <f>IF(AU25="???","                                               VEJA OBSERVAÇÃO ACIMA OU EM Q-1",AN3)</f>
        <v>PREÇO</v>
      </c>
      <c r="AW25" s="105"/>
      <c r="AX25" s="105"/>
      <c r="AY25" s="104"/>
      <c r="AZ25" s="91"/>
      <c r="BA25" s="104"/>
      <c r="BB25" s="1" t="s">
        <v>10</v>
      </c>
      <c r="BC25" s="37">
        <f>IF(D19+F19=0,1)</f>
        <v>1</v>
      </c>
      <c r="BD25" s="37">
        <f>AND(G14&gt;10,G14&lt;=20)*0.007*BE6</f>
        <v>0</v>
      </c>
      <c r="BE25" s="37" t="s">
        <v>170</v>
      </c>
      <c r="BF25" s="37" t="b">
        <f>AX6&gt;0</f>
        <v>0</v>
      </c>
      <c r="BG25" s="37" t="e">
        <f>SUM(AG5:AG22)&gt;0</f>
        <v>#DIV/0!</v>
      </c>
      <c r="BH25" s="76" t="str">
        <f>IF(BD12+BE14+BH12+BD2+BD3+BD4+BD7+BD8+BF13+BF22-BI13-BI14-BI15-BG24=5,"OK!","")</f>
        <v/>
      </c>
      <c r="BI25" s="37" t="s">
        <v>170</v>
      </c>
      <c r="BJ25" s="48">
        <f>SUM(BJ20:BJ24)</f>
        <v>0</v>
      </c>
      <c r="BK25" s="49" t="s">
        <v>170</v>
      </c>
      <c r="BL25" s="38">
        <f>IF(U16="S",K5,1)</f>
        <v>1</v>
      </c>
      <c r="BM25" s="74" t="e">
        <f>IF((BM3+BM7+BM11)*BH11=3,"???           "," ")</f>
        <v>#DIV/0!</v>
      </c>
      <c r="BN25" s="37">
        <f>IF(SUM(AX7:AX11)=0,1,0)</f>
        <v>1</v>
      </c>
      <c r="BO25" s="76" t="e">
        <f>IF((BO3+BO7+BO11+BP9)*BH11=4,"???        "," ")</f>
        <v>#DIV/0!</v>
      </c>
      <c r="BP25" s="37" t="s">
        <v>170</v>
      </c>
      <c r="BQ25" s="37" t="s">
        <v>170</v>
      </c>
      <c r="BR25" s="37" t="s">
        <v>170</v>
      </c>
      <c r="BS25" s="2" t="s">
        <v>11</v>
      </c>
      <c r="BT25" s="64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</row>
    <row r="26" spans="1:90" ht="8.25" customHeight="1" x14ac:dyDescent="0.15">
      <c r="A26" s="91"/>
      <c r="B26" s="452" t="s">
        <v>193</v>
      </c>
      <c r="C26" s="453">
        <f>IF(G17=" ","H25 !!!",(IF(G17="LR",C27,B27)))</f>
        <v>1.6500000000000001E-2</v>
      </c>
      <c r="D26" s="91"/>
      <c r="E26" s="452" t="s">
        <v>194</v>
      </c>
      <c r="F26" s="454">
        <f>IF(G17=" ","H25 !!!",(IF(G17="LR",F27,E27)))</f>
        <v>8.5999999999999993E-2</v>
      </c>
      <c r="G26" s="455" t="s">
        <v>250</v>
      </c>
      <c r="H26" s="456" t="s">
        <v>143</v>
      </c>
      <c r="I26" s="457"/>
      <c r="J26" s="457"/>
      <c r="K26" s="457"/>
      <c r="L26" s="457"/>
      <c r="M26" s="457"/>
      <c r="N26" s="457"/>
      <c r="O26" s="457"/>
      <c r="P26" s="375" t="str">
        <f>IF(BH11=0," ","LCR/PRJ PÓS REVENDA")</f>
        <v>LCR/PRJ PÓS REVENDA</v>
      </c>
      <c r="Q26" s="376" t="str">
        <f>IF(BH11=0," ","R$")</f>
        <v>R$</v>
      </c>
      <c r="R26" s="377" t="e">
        <f>IF(BH11=0," ",Y22/BL23)</f>
        <v>#DIV/0!</v>
      </c>
      <c r="S26" s="421"/>
      <c r="T26" s="379" t="str">
        <f>IF(BH11=0," ","LCR/PRJ PÓS REVENDA")</f>
        <v>LCR/PRJ PÓS REVENDA</v>
      </c>
      <c r="U26" s="422" t="str">
        <f>IF(BH11=0," ","R$")</f>
        <v>R$</v>
      </c>
      <c r="V26" s="381" t="e">
        <f>(IF(BD2*BH11=1,Y22,IF((BD3+BD4)*BD7*BH11=1,AC22,IF((BD3+BD4)*BD8*BH11=1,AD22))))/BL25</f>
        <v>#DIV/0!</v>
      </c>
      <c r="W26" s="155" t="s">
        <v>171</v>
      </c>
      <c r="X26" s="181" t="s">
        <v>20</v>
      </c>
      <c r="Y26" s="382" t="e">
        <f>SUM(BP18:BP22)*BH11</f>
        <v>#DIV/0!</v>
      </c>
      <c r="Z26" s="91"/>
      <c r="AA26" s="231" t="s">
        <v>177</v>
      </c>
      <c r="AB26" s="153" t="s">
        <v>20</v>
      </c>
      <c r="AC26" s="313" t="e">
        <f>((SUM(BQ2:BQ6)*BD3*BD7)+(SUM(BR2:BR6)*BD4*BD7))*BH11</f>
        <v>#DIV/0!</v>
      </c>
      <c r="AD26" s="235" t="e">
        <f>((SUM(BQ16:BQ20)*BD3*BD8)+(SUM(BR7:BR11)*BD4*BD8))*BH11</f>
        <v>#DIV/0!</v>
      </c>
      <c r="AE26" s="446" t="s">
        <v>90</v>
      </c>
      <c r="AF26" s="153" t="s">
        <v>85</v>
      </c>
      <c r="AG26" s="257" t="e">
        <f>SUM(AG7:AG22)*BF13</f>
        <v>#DIV/0!</v>
      </c>
      <c r="AH26" s="244" t="e">
        <f>SUM(AH7:AH22)</f>
        <v>#DIV/0!</v>
      </c>
      <c r="AI26" s="150" t="s">
        <v>184</v>
      </c>
      <c r="AJ26" s="458" t="e">
        <f>AH26/R9</f>
        <v>#DIV/0!</v>
      </c>
      <c r="AK26" s="459"/>
      <c r="AL26" s="460"/>
      <c r="AM26" s="460"/>
      <c r="AN26" s="460"/>
      <c r="AO26" s="460"/>
      <c r="AP26" s="461"/>
      <c r="AQ26" s="461"/>
      <c r="AR26" s="462"/>
      <c r="AS26" s="91"/>
      <c r="AT26" s="91"/>
      <c r="AU26" s="91"/>
      <c r="AV26" s="91"/>
      <c r="AW26" s="91"/>
      <c r="AX26" s="91"/>
      <c r="AY26" s="91"/>
      <c r="AZ26" s="91"/>
      <c r="BA26" s="445"/>
      <c r="BB26" s="11" t="s">
        <v>92</v>
      </c>
      <c r="BC26" s="11" t="s">
        <v>92</v>
      </c>
      <c r="BD26" s="11" t="s">
        <v>92</v>
      </c>
      <c r="BE26" s="11" t="s">
        <v>92</v>
      </c>
      <c r="BF26" s="11" t="s">
        <v>92</v>
      </c>
      <c r="BG26" s="11" t="s">
        <v>92</v>
      </c>
      <c r="BH26" s="11" t="s">
        <v>92</v>
      </c>
      <c r="BI26" s="11" t="s">
        <v>92</v>
      </c>
      <c r="BJ26" s="11" t="s">
        <v>92</v>
      </c>
      <c r="BK26" s="11" t="s">
        <v>92</v>
      </c>
      <c r="BL26" s="11" t="s">
        <v>92</v>
      </c>
      <c r="BM26" s="11" t="s">
        <v>92</v>
      </c>
      <c r="BN26" s="11" t="s">
        <v>92</v>
      </c>
      <c r="BO26" s="11" t="s">
        <v>92</v>
      </c>
      <c r="BP26" s="11" t="s">
        <v>92</v>
      </c>
      <c r="BQ26" s="11" t="s">
        <v>92</v>
      </c>
      <c r="BR26" s="11" t="s">
        <v>92</v>
      </c>
      <c r="BS26" s="11" t="s">
        <v>92</v>
      </c>
      <c r="BT26" s="64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</row>
    <row r="27" spans="1:90" ht="8.25" customHeight="1" x14ac:dyDescent="0.15">
      <c r="A27" s="318" t="s">
        <v>192</v>
      </c>
      <c r="B27" s="463">
        <v>6.4999999999999997E-3</v>
      </c>
      <c r="C27" s="463">
        <v>1.6500000000000001E-2</v>
      </c>
      <c r="D27" s="496" t="s">
        <v>89</v>
      </c>
      <c r="E27" s="463">
        <v>0.03</v>
      </c>
      <c r="F27" s="465">
        <v>8.5999999999999993E-2</v>
      </c>
      <c r="G27" s="466">
        <v>0</v>
      </c>
      <c r="H27" s="466">
        <v>0</v>
      </c>
      <c r="I27" s="496" t="s">
        <v>91</v>
      </c>
      <c r="J27" s="97"/>
      <c r="K27" s="263"/>
      <c r="L27" s="114"/>
      <c r="M27" s="496" t="s">
        <v>91</v>
      </c>
      <c r="N27" s="263"/>
      <c r="O27" s="496" t="s">
        <v>91</v>
      </c>
      <c r="P27" s="496" t="s">
        <v>91</v>
      </c>
      <c r="Q27" s="467"/>
      <c r="R27" s="496" t="s">
        <v>91</v>
      </c>
      <c r="S27" s="436"/>
      <c r="T27" s="496" t="s">
        <v>91</v>
      </c>
      <c r="U27" s="91"/>
      <c r="V27" s="496" t="s">
        <v>91</v>
      </c>
      <c r="W27" s="496" t="s">
        <v>91</v>
      </c>
      <c r="X27" s="467"/>
      <c r="Y27" s="496" t="s">
        <v>91</v>
      </c>
      <c r="Z27" s="436"/>
      <c r="AA27" s="496" t="s">
        <v>91</v>
      </c>
      <c r="AB27" s="91"/>
      <c r="AC27" s="496" t="s">
        <v>91</v>
      </c>
      <c r="AD27" s="496" t="s">
        <v>91</v>
      </c>
      <c r="AE27" s="496" t="s">
        <v>91</v>
      </c>
      <c r="AF27" s="91"/>
      <c r="AG27" s="468"/>
      <c r="AH27" s="496" t="s">
        <v>91</v>
      </c>
      <c r="AI27" s="91"/>
      <c r="AJ27" s="496" t="s">
        <v>91</v>
      </c>
      <c r="AK27" s="496" t="s">
        <v>91</v>
      </c>
      <c r="AL27" s="263"/>
      <c r="AM27" s="263"/>
      <c r="AN27" s="263"/>
      <c r="AO27" s="496" t="s">
        <v>91</v>
      </c>
      <c r="AP27" s="91"/>
      <c r="AQ27" s="91"/>
      <c r="AR27" s="496" t="s">
        <v>91</v>
      </c>
      <c r="AS27" s="91"/>
      <c r="AT27" s="496" t="s">
        <v>91</v>
      </c>
      <c r="AU27" s="263"/>
      <c r="AV27" s="263"/>
      <c r="AW27" s="496" t="s">
        <v>91</v>
      </c>
      <c r="AX27" s="263"/>
      <c r="AY27" s="91"/>
      <c r="AZ27" s="263"/>
      <c r="BA27" s="496" t="s">
        <v>91</v>
      </c>
      <c r="BB27" s="11"/>
      <c r="BC27" s="11"/>
      <c r="BD27" s="11"/>
      <c r="BE27" s="11"/>
      <c r="BF27" s="11"/>
      <c r="BG27" s="11"/>
      <c r="BH27" s="11"/>
      <c r="BI27" s="11"/>
      <c r="BJ27" s="11"/>
      <c r="BK27" s="11"/>
      <c r="BL27" s="11"/>
      <c r="BM27" s="11"/>
      <c r="BN27" s="11"/>
      <c r="BO27" s="11"/>
      <c r="BP27" s="11"/>
      <c r="BQ27" s="11"/>
      <c r="BR27" s="11"/>
      <c r="BS27" s="11"/>
      <c r="BT27" s="66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</row>
    <row r="28" spans="1:90" ht="8.25" customHeight="1" x14ac:dyDescent="0.15">
      <c r="A28" s="101" t="s">
        <v>260</v>
      </c>
      <c r="B28" s="105"/>
      <c r="C28" s="105"/>
      <c r="D28" s="105"/>
      <c r="E28" s="105"/>
      <c r="F28" s="105"/>
      <c r="G28" s="105"/>
      <c r="H28" s="469"/>
      <c r="I28" s="101" t="str">
        <f>A28</f>
        <v>Copyright by Impulse Assessoria de Negócios Ltda. - V. 4.3.1 - 05/2014 - Freeware - hhc@impulserio.com.br - www.impulserio.com.br</v>
      </c>
      <c r="J28" s="105"/>
      <c r="K28" s="105"/>
      <c r="L28" s="105"/>
      <c r="M28" s="105"/>
      <c r="N28" s="105"/>
      <c r="O28" s="263"/>
      <c r="P28" s="101" t="str">
        <f>A28</f>
        <v>Copyright by Impulse Assessoria de Negócios Ltda. - V. 4.3.1 - 05/2014 - Freeware - hhc@impulserio.com.br - www.impulserio.com.br</v>
      </c>
      <c r="Q28" s="467"/>
      <c r="R28" s="464"/>
      <c r="S28" s="436"/>
      <c r="T28" s="464"/>
      <c r="U28" s="91"/>
      <c r="V28" s="464"/>
      <c r="W28" s="470" t="str">
        <f>A28</f>
        <v>Copyright by Impulse Assessoria de Negócios Ltda. - V. 4.3.1 - 05/2014 - Freeware - hhc@impulserio.com.br - www.impulserio.com.br</v>
      </c>
      <c r="X28" s="470"/>
      <c r="Y28" s="470"/>
      <c r="Z28" s="470"/>
      <c r="AA28" s="470"/>
      <c r="AB28" s="470"/>
      <c r="AC28" s="470"/>
      <c r="AD28" s="470"/>
      <c r="AE28" s="471" t="str">
        <f>A28</f>
        <v>Copyright by Impulse Assessoria de Negócios Ltda. - V. 4.3.1 - 05/2014 - Freeware - hhc@impulserio.com.br - www.impulserio.com.br</v>
      </c>
      <c r="AF28" s="105"/>
      <c r="AG28" s="105"/>
      <c r="AH28" s="105"/>
      <c r="AI28" s="105"/>
      <c r="AJ28" s="105"/>
      <c r="AK28" s="101" t="str">
        <f>A28</f>
        <v>Copyright by Impulse Assessoria de Negócios Ltda. - V. 4.3.1 - 05/2014 - Freeware - hhc@impulserio.com.br - www.impulserio.com.br</v>
      </c>
      <c r="AL28" s="105"/>
      <c r="AM28" s="105"/>
      <c r="AN28" s="105"/>
      <c r="AO28" s="105"/>
      <c r="AP28" s="105"/>
      <c r="AQ28" s="105"/>
      <c r="AR28" s="105"/>
      <c r="AS28" s="472" t="str">
        <f>A28</f>
        <v>Copyright by Impulse Assessoria de Negócios Ltda. - V. 4.3.1 - 05/2014 - Freeware - hhc@impulserio.com.br - www.impulserio.com.br</v>
      </c>
      <c r="AT28" s="105"/>
      <c r="AU28" s="105"/>
      <c r="AV28" s="105"/>
      <c r="AW28" s="105"/>
      <c r="AX28" s="105"/>
      <c r="AY28" s="105"/>
      <c r="AZ28" s="263"/>
      <c r="BA28" s="319"/>
      <c r="BB28" s="1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67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</row>
    <row r="29" spans="1:90" ht="8.25" customHeight="1" x14ac:dyDescent="0.15">
      <c r="A29" s="473"/>
      <c r="B29" s="473"/>
      <c r="C29" s="473"/>
      <c r="D29" s="473"/>
      <c r="E29" s="473"/>
      <c r="F29" s="473"/>
      <c r="G29" s="91"/>
      <c r="H29" s="469"/>
      <c r="I29" s="474"/>
      <c r="J29" s="474"/>
      <c r="K29" s="474"/>
      <c r="L29" s="474"/>
      <c r="M29" s="474"/>
      <c r="N29" s="474"/>
      <c r="O29" s="475"/>
      <c r="P29" s="474"/>
      <c r="Q29" s="474"/>
      <c r="R29" s="474"/>
      <c r="S29" s="474"/>
      <c r="T29" s="474"/>
      <c r="U29" s="474"/>
      <c r="V29" s="474"/>
      <c r="W29" s="474"/>
      <c r="X29" s="474"/>
      <c r="Y29" s="474"/>
      <c r="Z29" s="474"/>
      <c r="AA29" s="474"/>
      <c r="AB29" s="474"/>
      <c r="AC29" s="474"/>
      <c r="AD29" s="474"/>
      <c r="AE29" s="476"/>
      <c r="AF29" s="477"/>
      <c r="AG29" s="478"/>
      <c r="AH29" s="479"/>
      <c r="AI29" s="480"/>
      <c r="AJ29" s="475"/>
      <c r="AK29" s="481"/>
      <c r="AL29" s="481"/>
      <c r="AM29" s="481"/>
      <c r="AN29" s="481"/>
      <c r="AO29" s="481"/>
      <c r="AP29" s="481"/>
      <c r="AQ29" s="481"/>
      <c r="AR29" s="481"/>
      <c r="AS29" s="481"/>
      <c r="AT29" s="481"/>
      <c r="AU29" s="481"/>
      <c r="AV29" s="481"/>
      <c r="AW29" s="481"/>
      <c r="AX29" s="481"/>
      <c r="AY29" s="481"/>
      <c r="AZ29" s="481"/>
      <c r="BA29" s="481"/>
      <c r="BB29" s="33"/>
      <c r="BC29" s="34"/>
      <c r="BD29" s="34"/>
      <c r="BE29" s="34"/>
      <c r="BF29" s="34"/>
      <c r="BG29" s="34"/>
      <c r="BH29" s="34"/>
      <c r="BI29" s="34"/>
      <c r="BJ29" s="34"/>
      <c r="BK29" s="34"/>
      <c r="BL29" s="34"/>
      <c r="BM29" s="34"/>
      <c r="BN29" s="34"/>
      <c r="BO29" s="34"/>
      <c r="BP29" s="34"/>
      <c r="BQ29" s="34"/>
      <c r="BR29" s="34"/>
      <c r="BS29" s="34"/>
      <c r="BT29" s="34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</row>
    <row r="30" spans="1:90" ht="8.25" customHeight="1" x14ac:dyDescent="0.15">
      <c r="A30" s="242" t="s">
        <v>94</v>
      </c>
      <c r="B30" s="103"/>
      <c r="C30" s="482"/>
      <c r="D30" s="103"/>
      <c r="E30" s="482"/>
      <c r="F30" s="91"/>
      <c r="G30" s="91"/>
      <c r="H30" s="469"/>
      <c r="I30" s="474"/>
      <c r="J30" s="474"/>
      <c r="K30" s="474"/>
      <c r="L30" s="474"/>
      <c r="M30" s="474"/>
      <c r="N30" s="474"/>
      <c r="O30" s="474"/>
      <c r="P30" s="474"/>
      <c r="Q30" s="474"/>
      <c r="R30" s="474"/>
      <c r="S30" s="474"/>
      <c r="T30" s="474"/>
      <c r="U30" s="474"/>
      <c r="V30" s="474"/>
      <c r="W30" s="474"/>
      <c r="X30" s="474"/>
      <c r="Y30" s="474"/>
      <c r="Z30" s="474"/>
      <c r="AA30" s="474"/>
      <c r="AB30" s="474"/>
      <c r="AC30" s="474"/>
      <c r="AD30" s="474"/>
      <c r="AE30" s="483"/>
      <c r="AF30" s="477"/>
      <c r="AG30" s="478"/>
      <c r="AH30" s="479"/>
      <c r="AI30" s="480"/>
      <c r="AJ30" s="475"/>
      <c r="AK30" s="481"/>
      <c r="AL30" s="481"/>
      <c r="AM30" s="481"/>
      <c r="AN30" s="481"/>
      <c r="AO30" s="481"/>
      <c r="AP30" s="481"/>
      <c r="AQ30" s="481"/>
      <c r="AR30" s="481"/>
      <c r="AS30" s="481"/>
      <c r="AT30" s="481"/>
      <c r="AU30" s="481"/>
      <c r="AV30" s="481"/>
      <c r="AW30" s="481"/>
      <c r="AX30" s="481"/>
      <c r="AY30" s="481"/>
      <c r="AZ30" s="481"/>
      <c r="BA30" s="481"/>
      <c r="BB30" s="33"/>
      <c r="BC30" s="34"/>
      <c r="BD30" s="34"/>
      <c r="BE30" s="34"/>
      <c r="BF30" s="34"/>
      <c r="BG30" s="34"/>
      <c r="BH30" s="34"/>
      <c r="BI30" s="34"/>
      <c r="BJ30" s="34"/>
      <c r="BK30" s="34"/>
      <c r="BL30" s="34"/>
      <c r="BM30" s="34"/>
      <c r="BN30" s="34"/>
      <c r="BO30" s="34"/>
      <c r="BP30" s="34"/>
      <c r="BQ30" s="34"/>
      <c r="BR30" s="34"/>
      <c r="BS30" s="34"/>
      <c r="BT30" s="34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</row>
    <row r="31" spans="1:90" ht="8.25" customHeight="1" x14ac:dyDescent="0.15">
      <c r="A31" s="484" t="s">
        <v>178</v>
      </c>
      <c r="B31" s="103"/>
      <c r="C31" s="482"/>
      <c r="D31" s="103"/>
      <c r="E31" s="482"/>
      <c r="F31" s="103"/>
      <c r="G31" s="263"/>
      <c r="H31" s="469"/>
      <c r="I31" s="474"/>
      <c r="J31" s="474"/>
      <c r="K31" s="474"/>
      <c r="L31" s="474"/>
      <c r="M31" s="474"/>
      <c r="N31" s="474"/>
      <c r="O31" s="474"/>
      <c r="P31" s="474"/>
      <c r="Q31" s="474"/>
      <c r="R31" s="474"/>
      <c r="S31" s="474"/>
      <c r="T31" s="474"/>
      <c r="U31" s="474"/>
      <c r="V31" s="474"/>
      <c r="W31" s="474"/>
      <c r="X31" s="474"/>
      <c r="Y31" s="474"/>
      <c r="Z31" s="474"/>
      <c r="AA31" s="474"/>
      <c r="AB31" s="474"/>
      <c r="AC31" s="474"/>
      <c r="AD31" s="474"/>
      <c r="AE31" s="483"/>
      <c r="AF31" s="477"/>
      <c r="AG31" s="478"/>
      <c r="AH31" s="479"/>
      <c r="AI31" s="480"/>
      <c r="AJ31" s="475"/>
      <c r="AK31" s="481"/>
      <c r="AL31" s="481"/>
      <c r="AM31" s="481"/>
      <c r="AN31" s="481"/>
      <c r="AO31" s="481"/>
      <c r="AP31" s="481"/>
      <c r="AQ31" s="481"/>
      <c r="AR31" s="481"/>
      <c r="AS31" s="481"/>
      <c r="AT31" s="481"/>
      <c r="AU31" s="481"/>
      <c r="AV31" s="481"/>
      <c r="AW31" s="481"/>
      <c r="AX31" s="481"/>
      <c r="AY31" s="481"/>
      <c r="AZ31" s="481"/>
      <c r="BA31" s="481"/>
      <c r="BB31" s="33"/>
      <c r="BC31" s="34"/>
      <c r="BD31" s="34"/>
      <c r="BE31" s="34"/>
      <c r="BF31" s="34"/>
      <c r="BG31" s="34"/>
      <c r="BH31" s="34"/>
      <c r="BI31" s="34"/>
      <c r="BJ31" s="34"/>
      <c r="BK31" s="34"/>
      <c r="BL31" s="34"/>
      <c r="BM31" s="34"/>
      <c r="BN31" s="34"/>
      <c r="BO31" s="34"/>
      <c r="BP31" s="34"/>
      <c r="BQ31" s="34"/>
      <c r="BR31" s="34"/>
      <c r="BS31" s="34"/>
      <c r="BT31" s="34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</row>
    <row r="32" spans="1:90" ht="8.25" customHeight="1" x14ac:dyDescent="0.15">
      <c r="A32" s="484" t="s">
        <v>95</v>
      </c>
      <c r="B32" s="103"/>
      <c r="C32" s="482"/>
      <c r="D32" s="103"/>
      <c r="E32" s="482"/>
      <c r="F32" s="103"/>
      <c r="G32" s="263"/>
      <c r="H32" s="469"/>
      <c r="I32" s="474"/>
      <c r="J32" s="474"/>
      <c r="K32" s="474"/>
      <c r="L32" s="474"/>
      <c r="M32" s="474"/>
      <c r="N32" s="474"/>
      <c r="O32" s="474"/>
      <c r="P32" s="474"/>
      <c r="Q32" s="474"/>
      <c r="R32" s="474"/>
      <c r="S32" s="474"/>
      <c r="T32" s="474"/>
      <c r="U32" s="474"/>
      <c r="V32" s="474"/>
      <c r="W32" s="474"/>
      <c r="X32" s="474"/>
      <c r="Y32" s="474"/>
      <c r="Z32" s="474"/>
      <c r="AA32" s="474"/>
      <c r="AB32" s="474"/>
      <c r="AC32" s="474"/>
      <c r="AD32" s="474"/>
      <c r="AE32" s="476"/>
      <c r="AF32" s="477"/>
      <c r="AG32" s="478"/>
      <c r="AH32" s="479"/>
      <c r="AI32" s="480"/>
      <c r="AJ32" s="475"/>
      <c r="AK32" s="481"/>
      <c r="AL32" s="481"/>
      <c r="AM32" s="481"/>
      <c r="AN32" s="481"/>
      <c r="AO32" s="481"/>
      <c r="AP32" s="481"/>
      <c r="AQ32" s="481"/>
      <c r="AR32" s="481"/>
      <c r="AS32" s="481"/>
      <c r="AT32" s="481"/>
      <c r="AU32" s="481"/>
      <c r="AV32" s="481"/>
      <c r="AW32" s="481"/>
      <c r="AX32" s="481"/>
      <c r="AY32" s="481"/>
      <c r="AZ32" s="481"/>
      <c r="BA32" s="481"/>
      <c r="BB32" s="33"/>
      <c r="BC32" s="34"/>
      <c r="BD32" s="34"/>
      <c r="BE32" s="34"/>
      <c r="BF32" s="34"/>
      <c r="BG32" s="34"/>
      <c r="BH32" s="34"/>
      <c r="BI32" s="34"/>
      <c r="BJ32" s="34"/>
      <c r="BK32" s="34"/>
      <c r="BL32" s="34"/>
      <c r="BM32" s="34"/>
      <c r="BN32" s="34"/>
      <c r="BO32" s="34"/>
      <c r="BP32" s="34"/>
      <c r="BQ32" s="34"/>
      <c r="BR32" s="34"/>
      <c r="BS32" s="34"/>
      <c r="BT32" s="34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</row>
    <row r="33" spans="1:90" ht="8.25" customHeight="1" x14ac:dyDescent="0.15">
      <c r="A33" s="103" t="s">
        <v>96</v>
      </c>
      <c r="B33" s="103"/>
      <c r="C33" s="482"/>
      <c r="D33" s="103"/>
      <c r="E33" s="482"/>
      <c r="F33" s="103"/>
      <c r="G33" s="263"/>
      <c r="H33" s="469"/>
      <c r="I33" s="474"/>
      <c r="J33" s="474"/>
      <c r="K33" s="474"/>
      <c r="L33" s="474"/>
      <c r="M33" s="474"/>
      <c r="N33" s="474"/>
      <c r="O33" s="474"/>
      <c r="P33" s="474"/>
      <c r="Q33" s="474"/>
      <c r="R33" s="474"/>
      <c r="S33" s="474"/>
      <c r="T33" s="474"/>
      <c r="U33" s="474"/>
      <c r="V33" s="474"/>
      <c r="W33" s="474"/>
      <c r="X33" s="474"/>
      <c r="Y33" s="474"/>
      <c r="Z33" s="474"/>
      <c r="AA33" s="474"/>
      <c r="AB33" s="474"/>
      <c r="AC33" s="474"/>
      <c r="AD33" s="474"/>
      <c r="AE33" s="485"/>
      <c r="AF33" s="475"/>
      <c r="AG33" s="486"/>
      <c r="AH33" s="486"/>
      <c r="AI33" s="475"/>
      <c r="AJ33" s="475"/>
      <c r="AK33" s="481"/>
      <c r="AL33" s="481"/>
      <c r="AM33" s="481"/>
      <c r="AN33" s="481"/>
      <c r="AO33" s="481"/>
      <c r="AP33" s="481"/>
      <c r="AQ33" s="481"/>
      <c r="AR33" s="481"/>
      <c r="AS33" s="481"/>
      <c r="AT33" s="481"/>
      <c r="AU33" s="481"/>
      <c r="AV33" s="481"/>
      <c r="AW33" s="481"/>
      <c r="AX33" s="481"/>
      <c r="AY33" s="481"/>
      <c r="AZ33" s="481"/>
      <c r="BA33" s="481"/>
      <c r="BB33" s="33"/>
      <c r="BC33" s="34"/>
      <c r="BD33" s="34"/>
      <c r="BE33" s="34"/>
      <c r="BF33" s="34"/>
      <c r="BG33" s="34"/>
      <c r="BH33" s="34"/>
      <c r="BI33" s="34"/>
      <c r="BJ33" s="34"/>
      <c r="BK33" s="34"/>
      <c r="BL33" s="34"/>
      <c r="BM33" s="34"/>
      <c r="BN33" s="34"/>
      <c r="BO33" s="34"/>
      <c r="BP33" s="34"/>
      <c r="BQ33" s="34"/>
      <c r="BR33" s="34"/>
      <c r="BS33" s="34"/>
      <c r="BT33" s="34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</row>
    <row r="34" spans="1:90" ht="8.25" customHeight="1" x14ac:dyDescent="0.15">
      <c r="A34" s="484" t="s">
        <v>252</v>
      </c>
      <c r="B34" s="103"/>
      <c r="C34" s="482"/>
      <c r="D34" s="103"/>
      <c r="E34" s="482"/>
      <c r="F34" s="103"/>
      <c r="G34" s="487"/>
      <c r="H34" s="469"/>
      <c r="I34" s="474"/>
      <c r="J34" s="474"/>
      <c r="K34" s="474"/>
      <c r="L34" s="474"/>
      <c r="M34" s="474"/>
      <c r="N34" s="474"/>
      <c r="O34" s="474"/>
      <c r="P34" s="474"/>
      <c r="Q34" s="474"/>
      <c r="R34" s="474"/>
      <c r="S34" s="474"/>
      <c r="T34" s="474"/>
      <c r="U34" s="474"/>
      <c r="V34" s="474"/>
      <c r="W34" s="474"/>
      <c r="X34" s="474"/>
      <c r="Y34" s="474"/>
      <c r="Z34" s="474"/>
      <c r="AA34" s="474"/>
      <c r="AB34" s="474"/>
      <c r="AC34" s="474"/>
      <c r="AD34" s="474"/>
      <c r="AE34" s="485"/>
      <c r="AF34" s="475"/>
      <c r="AG34" s="486"/>
      <c r="AH34" s="486"/>
      <c r="AI34" s="475"/>
      <c r="AJ34" s="475"/>
      <c r="AK34" s="481"/>
      <c r="AL34" s="481"/>
      <c r="AM34" s="481"/>
      <c r="AN34" s="481"/>
      <c r="AO34" s="481"/>
      <c r="AP34" s="481"/>
      <c r="AQ34" s="481"/>
      <c r="AR34" s="481"/>
      <c r="AS34" s="481"/>
      <c r="AT34" s="481"/>
      <c r="AU34" s="481"/>
      <c r="AV34" s="481"/>
      <c r="AW34" s="481"/>
      <c r="AX34" s="481"/>
      <c r="AY34" s="481"/>
      <c r="AZ34" s="481"/>
      <c r="BA34" s="481"/>
      <c r="BB34" s="33"/>
      <c r="BC34" s="34"/>
      <c r="BD34" s="34"/>
      <c r="BE34" s="34"/>
      <c r="BF34" s="34"/>
      <c r="BG34" s="34"/>
      <c r="BH34" s="34"/>
      <c r="BI34" s="34"/>
      <c r="BJ34" s="34"/>
      <c r="BK34" s="34"/>
      <c r="BL34" s="34"/>
      <c r="BM34" s="34"/>
      <c r="BN34" s="34"/>
      <c r="BO34" s="34"/>
      <c r="BP34" s="34"/>
      <c r="BQ34" s="34"/>
      <c r="BR34" s="34"/>
      <c r="BS34" s="34"/>
      <c r="BT34" s="34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</row>
    <row r="35" spans="1:90" ht="8.25" customHeight="1" x14ac:dyDescent="0.15">
      <c r="A35" s="484" t="s">
        <v>97</v>
      </c>
      <c r="B35" s="103"/>
      <c r="C35" s="482"/>
      <c r="D35" s="103"/>
      <c r="E35" s="482"/>
      <c r="F35" s="103"/>
      <c r="G35" s="263"/>
      <c r="H35" s="469"/>
      <c r="I35" s="474"/>
      <c r="J35" s="474"/>
      <c r="K35" s="474"/>
      <c r="L35" s="474"/>
      <c r="M35" s="474"/>
      <c r="N35" s="474"/>
      <c r="O35" s="474"/>
      <c r="P35" s="474"/>
      <c r="Q35" s="474"/>
      <c r="R35" s="474"/>
      <c r="S35" s="474"/>
      <c r="T35" s="474"/>
      <c r="U35" s="474"/>
      <c r="V35" s="474"/>
      <c r="W35" s="474"/>
      <c r="X35" s="474"/>
      <c r="Y35" s="474"/>
      <c r="Z35" s="474"/>
      <c r="AA35" s="474"/>
      <c r="AB35" s="474"/>
      <c r="AC35" s="474"/>
      <c r="AD35" s="474"/>
      <c r="AE35" s="485"/>
      <c r="AF35" s="475"/>
      <c r="AG35" s="486"/>
      <c r="AH35" s="486"/>
      <c r="AI35" s="475"/>
      <c r="AJ35" s="475"/>
      <c r="AK35" s="481"/>
      <c r="AL35" s="481"/>
      <c r="AM35" s="481"/>
      <c r="AN35" s="481"/>
      <c r="AO35" s="481"/>
      <c r="AP35" s="481"/>
      <c r="AQ35" s="481"/>
      <c r="AR35" s="481"/>
      <c r="AS35" s="481"/>
      <c r="AT35" s="481"/>
      <c r="AU35" s="481"/>
      <c r="AV35" s="481"/>
      <c r="AW35" s="481"/>
      <c r="AX35" s="481"/>
      <c r="AY35" s="481"/>
      <c r="AZ35" s="481"/>
      <c r="BA35" s="481"/>
      <c r="BB35" s="33"/>
      <c r="BC35" s="34"/>
      <c r="BD35" s="34"/>
      <c r="BE35" s="34"/>
      <c r="BF35" s="34"/>
      <c r="BG35" s="34"/>
      <c r="BH35" s="34"/>
      <c r="BI35" s="34"/>
      <c r="BJ35" s="34"/>
      <c r="BK35" s="34"/>
      <c r="BL35" s="34"/>
      <c r="BM35" s="34"/>
      <c r="BN35" s="34"/>
      <c r="BO35" s="34"/>
      <c r="BP35" s="34"/>
      <c r="BQ35" s="34"/>
      <c r="BR35" s="34"/>
      <c r="BS35" s="34"/>
      <c r="BT35" s="34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</row>
    <row r="36" spans="1:90" ht="8.25" customHeight="1" x14ac:dyDescent="0.15">
      <c r="A36" s="484" t="s">
        <v>98</v>
      </c>
      <c r="B36" s="263"/>
      <c r="C36" s="114"/>
      <c r="D36" s="263"/>
      <c r="E36" s="114"/>
      <c r="F36" s="263"/>
      <c r="G36" s="263"/>
      <c r="H36" s="469"/>
      <c r="I36" s="474"/>
      <c r="J36" s="474"/>
      <c r="K36" s="474"/>
      <c r="L36" s="474"/>
      <c r="M36" s="474"/>
      <c r="N36" s="474"/>
      <c r="O36" s="474"/>
      <c r="P36" s="474"/>
      <c r="Q36" s="474"/>
      <c r="R36" s="474"/>
      <c r="S36" s="474"/>
      <c r="T36" s="474"/>
      <c r="U36" s="474"/>
      <c r="V36" s="474"/>
      <c r="W36" s="474"/>
      <c r="X36" s="474"/>
      <c r="Y36" s="474"/>
      <c r="Z36" s="474"/>
      <c r="AA36" s="474"/>
      <c r="AB36" s="474"/>
      <c r="AC36" s="474"/>
      <c r="AD36" s="474"/>
      <c r="AE36" s="485"/>
      <c r="AF36" s="475"/>
      <c r="AG36" s="486"/>
      <c r="AH36" s="486"/>
      <c r="AI36" s="475"/>
      <c r="AJ36" s="475"/>
      <c r="AK36" s="481"/>
      <c r="AL36" s="481"/>
      <c r="AM36" s="481"/>
      <c r="AN36" s="481"/>
      <c r="AO36" s="481"/>
      <c r="AP36" s="481"/>
      <c r="AQ36" s="481"/>
      <c r="AR36" s="481"/>
      <c r="AS36" s="481"/>
      <c r="AT36" s="481"/>
      <c r="AU36" s="481"/>
      <c r="AV36" s="481"/>
      <c r="AW36" s="481"/>
      <c r="AX36" s="481"/>
      <c r="AY36" s="481"/>
      <c r="AZ36" s="481"/>
      <c r="BA36" s="481"/>
      <c r="BB36" s="33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</row>
    <row r="37" spans="1:90" ht="8.25" customHeight="1" x14ac:dyDescent="0.15">
      <c r="A37" s="484" t="s">
        <v>99</v>
      </c>
      <c r="B37" s="114"/>
      <c r="C37" s="114"/>
      <c r="D37" s="114"/>
      <c r="E37" s="114"/>
      <c r="F37" s="114"/>
      <c r="G37" s="91"/>
      <c r="H37" s="469"/>
      <c r="I37" s="474"/>
      <c r="J37" s="474"/>
      <c r="K37" s="474"/>
      <c r="L37" s="474"/>
      <c r="M37" s="474"/>
      <c r="N37" s="474"/>
      <c r="O37" s="474"/>
      <c r="P37" s="474"/>
      <c r="Q37" s="474"/>
      <c r="R37" s="474"/>
      <c r="S37" s="474"/>
      <c r="T37" s="474"/>
      <c r="U37" s="474"/>
      <c r="V37" s="474"/>
      <c r="W37" s="474"/>
      <c r="X37" s="474"/>
      <c r="Y37" s="474"/>
      <c r="Z37" s="474"/>
      <c r="AA37" s="474"/>
      <c r="AB37" s="474"/>
      <c r="AC37" s="474"/>
      <c r="AD37" s="474"/>
      <c r="AE37" s="485"/>
      <c r="AF37" s="475"/>
      <c r="AG37" s="486"/>
      <c r="AH37" s="486"/>
      <c r="AI37" s="475"/>
      <c r="AJ37" s="475"/>
      <c r="AK37" s="481"/>
      <c r="AL37" s="481"/>
      <c r="AM37" s="481"/>
      <c r="AN37" s="481"/>
      <c r="AO37" s="481"/>
      <c r="AP37" s="481"/>
      <c r="AQ37" s="481"/>
      <c r="AR37" s="481"/>
      <c r="AS37" s="481"/>
      <c r="AT37" s="481"/>
      <c r="AU37" s="481"/>
      <c r="AV37" s="481"/>
      <c r="AW37" s="481"/>
      <c r="AX37" s="481"/>
      <c r="AY37" s="481"/>
      <c r="AZ37" s="481"/>
      <c r="BA37" s="481"/>
      <c r="BB37" s="33"/>
      <c r="BC37" s="34"/>
      <c r="BD37" s="34"/>
      <c r="BE37" s="34"/>
      <c r="BF37" s="34"/>
      <c r="BG37" s="34"/>
      <c r="BH37" s="34"/>
      <c r="BI37" s="34"/>
      <c r="BJ37" s="34"/>
      <c r="BK37" s="34"/>
      <c r="BL37" s="34"/>
      <c r="BM37" s="34"/>
      <c r="BN37" s="34"/>
      <c r="BO37" s="34"/>
      <c r="BP37" s="34"/>
      <c r="BQ37" s="34"/>
      <c r="BR37" s="34"/>
      <c r="BS37" s="34"/>
      <c r="BT37" s="34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</row>
    <row r="38" spans="1:90" ht="3" customHeight="1" x14ac:dyDescent="0.15">
      <c r="A38" s="469"/>
      <c r="B38" s="469"/>
      <c r="C38" s="469"/>
      <c r="D38" s="469"/>
      <c r="E38" s="469"/>
      <c r="F38" s="469"/>
      <c r="G38" s="91"/>
      <c r="H38" s="469"/>
      <c r="I38" s="474"/>
      <c r="J38" s="474"/>
      <c r="K38" s="474"/>
      <c r="L38" s="474"/>
      <c r="M38" s="474"/>
      <c r="N38" s="474"/>
      <c r="O38" s="474"/>
      <c r="P38" s="474"/>
      <c r="Q38" s="474"/>
      <c r="R38" s="474"/>
      <c r="S38" s="474"/>
      <c r="T38" s="474"/>
      <c r="U38" s="474"/>
      <c r="V38" s="474"/>
      <c r="W38" s="474"/>
      <c r="X38" s="474"/>
      <c r="Y38" s="474"/>
      <c r="Z38" s="474"/>
      <c r="AA38" s="474"/>
      <c r="AB38" s="474"/>
      <c r="AC38" s="474"/>
      <c r="AD38" s="474"/>
      <c r="AE38" s="485"/>
      <c r="AF38" s="475"/>
      <c r="AG38" s="486"/>
      <c r="AH38" s="486"/>
      <c r="AI38" s="475"/>
      <c r="AJ38" s="475"/>
      <c r="AK38" s="481"/>
      <c r="AL38" s="481"/>
      <c r="AM38" s="481"/>
      <c r="AN38" s="481"/>
      <c r="AO38" s="481"/>
      <c r="AP38" s="481"/>
      <c r="AQ38" s="481"/>
      <c r="AR38" s="481"/>
      <c r="AS38" s="481"/>
      <c r="AT38" s="481"/>
      <c r="AU38" s="481"/>
      <c r="AV38" s="481"/>
      <c r="AW38" s="481"/>
      <c r="AX38" s="481"/>
      <c r="AY38" s="481"/>
      <c r="AZ38" s="481"/>
      <c r="BA38" s="481"/>
      <c r="BB38" s="33"/>
      <c r="BC38" s="34"/>
      <c r="BD38" s="34"/>
      <c r="BE38" s="34"/>
      <c r="BF38" s="34"/>
      <c r="BG38" s="34"/>
      <c r="BH38" s="34"/>
      <c r="BI38" s="34"/>
      <c r="BJ38" s="34"/>
      <c r="BK38" s="34"/>
      <c r="BL38" s="34"/>
      <c r="BM38" s="34"/>
      <c r="BN38" s="34"/>
      <c r="BO38" s="34"/>
      <c r="BP38" s="34"/>
      <c r="BQ38" s="34"/>
      <c r="BR38" s="34"/>
      <c r="BS38" s="34"/>
      <c r="BT38" s="34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</row>
    <row r="39" spans="1:90" ht="8.25" customHeight="1" x14ac:dyDescent="0.15">
      <c r="A39" s="484" t="s">
        <v>179</v>
      </c>
      <c r="B39" s="114"/>
      <c r="C39" s="114"/>
      <c r="D39" s="114"/>
      <c r="E39" s="114"/>
      <c r="F39" s="114"/>
      <c r="G39" s="114"/>
      <c r="H39" s="469"/>
      <c r="I39" s="474"/>
      <c r="J39" s="474"/>
      <c r="K39" s="474"/>
      <c r="L39" s="474"/>
      <c r="M39" s="474"/>
      <c r="N39" s="474"/>
      <c r="O39" s="474"/>
      <c r="P39" s="474"/>
      <c r="Q39" s="474"/>
      <c r="R39" s="474"/>
      <c r="S39" s="474"/>
      <c r="T39" s="474"/>
      <c r="U39" s="474"/>
      <c r="V39" s="474"/>
      <c r="W39" s="474"/>
      <c r="X39" s="474"/>
      <c r="Y39" s="474"/>
      <c r="Z39" s="474"/>
      <c r="AA39" s="474"/>
      <c r="AB39" s="474"/>
      <c r="AC39" s="474"/>
      <c r="AD39" s="474"/>
      <c r="AE39" s="485"/>
      <c r="AF39" s="475"/>
      <c r="AG39" s="486"/>
      <c r="AH39" s="486"/>
      <c r="AI39" s="475"/>
      <c r="AJ39" s="475"/>
      <c r="AK39" s="481"/>
      <c r="AL39" s="481"/>
      <c r="AM39" s="481"/>
      <c r="AN39" s="481"/>
      <c r="AO39" s="481"/>
      <c r="AP39" s="481"/>
      <c r="AQ39" s="481"/>
      <c r="AR39" s="481"/>
      <c r="AS39" s="481"/>
      <c r="AT39" s="481"/>
      <c r="AU39" s="481"/>
      <c r="AV39" s="481"/>
      <c r="AW39" s="481"/>
      <c r="AX39" s="481"/>
      <c r="AY39" s="481"/>
      <c r="AZ39" s="481"/>
      <c r="BA39" s="481"/>
      <c r="BB39" s="33"/>
      <c r="BC39" s="34"/>
      <c r="BD39" s="34"/>
      <c r="BE39" s="34"/>
      <c r="BF39" s="34"/>
      <c r="BG39" s="34"/>
      <c r="BH39" s="34"/>
      <c r="BI39" s="34"/>
      <c r="BJ39" s="34"/>
      <c r="BK39" s="34"/>
      <c r="BL39" s="34"/>
      <c r="BM39" s="34"/>
      <c r="BN39" s="34"/>
      <c r="BO39" s="34"/>
      <c r="BP39" s="34"/>
      <c r="BQ39" s="34"/>
      <c r="BR39" s="34"/>
      <c r="BS39" s="34"/>
      <c r="BT39" s="34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</row>
    <row r="40" spans="1:90" ht="8.25" customHeight="1" x14ac:dyDescent="0.15">
      <c r="A40" s="156" t="s">
        <v>100</v>
      </c>
      <c r="B40" s="340" t="s">
        <v>101</v>
      </c>
      <c r="C40" s="156" t="s">
        <v>109</v>
      </c>
      <c r="D40" s="156" t="s">
        <v>165</v>
      </c>
      <c r="E40" s="340" t="s">
        <v>134</v>
      </c>
      <c r="F40" s="482" t="s">
        <v>135</v>
      </c>
      <c r="G40" s="91"/>
      <c r="H40" s="469"/>
      <c r="I40" s="474"/>
      <c r="J40" s="474"/>
      <c r="K40" s="474"/>
      <c r="L40" s="474"/>
      <c r="M40" s="474"/>
      <c r="N40" s="474"/>
      <c r="O40" s="474"/>
      <c r="P40" s="474"/>
      <c r="Q40" s="474"/>
      <c r="R40" s="474"/>
      <c r="S40" s="474"/>
      <c r="T40" s="474"/>
      <c r="U40" s="474"/>
      <c r="V40" s="474"/>
      <c r="W40" s="474"/>
      <c r="X40" s="474"/>
      <c r="Y40" s="474"/>
      <c r="Z40" s="474"/>
      <c r="AA40" s="474"/>
      <c r="AB40" s="474"/>
      <c r="AC40" s="474"/>
      <c r="AD40" s="474"/>
      <c r="AE40" s="485"/>
      <c r="AF40" s="475"/>
      <c r="AG40" s="486"/>
      <c r="AH40" s="486"/>
      <c r="AI40" s="475"/>
      <c r="AJ40" s="475"/>
      <c r="AK40" s="481"/>
      <c r="AL40" s="481"/>
      <c r="AM40" s="481"/>
      <c r="AN40" s="481"/>
      <c r="AO40" s="481"/>
      <c r="AP40" s="481"/>
      <c r="AQ40" s="481"/>
      <c r="AR40" s="481"/>
      <c r="AS40" s="481"/>
      <c r="AT40" s="481"/>
      <c r="AU40" s="481"/>
      <c r="AV40" s="481"/>
      <c r="AW40" s="481"/>
      <c r="AX40" s="481"/>
      <c r="AY40" s="481"/>
      <c r="AZ40" s="481"/>
      <c r="BA40" s="481"/>
      <c r="BB40" s="33"/>
      <c r="BC40" s="34"/>
      <c r="BD40" s="34"/>
      <c r="BE40" s="34"/>
      <c r="BF40" s="34"/>
      <c r="BG40" s="34"/>
      <c r="BH40" s="34"/>
      <c r="BI40" s="34"/>
      <c r="BJ40" s="34"/>
      <c r="BK40" s="34"/>
      <c r="BL40" s="34"/>
      <c r="BM40" s="34"/>
      <c r="BN40" s="34"/>
      <c r="BO40" s="34"/>
      <c r="BP40" s="34"/>
      <c r="BQ40" s="34"/>
      <c r="BR40" s="34"/>
      <c r="BS40" s="34"/>
      <c r="BT40" s="34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</row>
    <row r="41" spans="1:90" ht="8.25" customHeight="1" x14ac:dyDescent="0.15">
      <c r="A41" s="340" t="s">
        <v>103</v>
      </c>
      <c r="B41" s="340" t="s">
        <v>104</v>
      </c>
      <c r="C41" s="340" t="s">
        <v>105</v>
      </c>
      <c r="D41" s="340" t="s">
        <v>106</v>
      </c>
      <c r="E41" s="340" t="s">
        <v>107</v>
      </c>
      <c r="F41" s="482" t="s">
        <v>108</v>
      </c>
      <c r="G41" s="91"/>
      <c r="H41" s="469"/>
      <c r="I41" s="474"/>
      <c r="J41" s="474"/>
      <c r="K41" s="474"/>
      <c r="L41" s="474"/>
      <c r="M41" s="474"/>
      <c r="N41" s="474"/>
      <c r="O41" s="474"/>
      <c r="P41" s="474"/>
      <c r="Q41" s="474"/>
      <c r="R41" s="474"/>
      <c r="S41" s="474"/>
      <c r="T41" s="474"/>
      <c r="U41" s="474"/>
      <c r="V41" s="474"/>
      <c r="W41" s="474"/>
      <c r="X41" s="474"/>
      <c r="Y41" s="474"/>
      <c r="Z41" s="474"/>
      <c r="AA41" s="474"/>
      <c r="AB41" s="474"/>
      <c r="AC41" s="474"/>
      <c r="AD41" s="474"/>
      <c r="AE41" s="485"/>
      <c r="AF41" s="475"/>
      <c r="AG41" s="486"/>
      <c r="AH41" s="486"/>
      <c r="AI41" s="475"/>
      <c r="AJ41" s="475"/>
      <c r="AK41" s="481"/>
      <c r="AL41" s="481"/>
      <c r="AM41" s="481"/>
      <c r="AN41" s="481"/>
      <c r="AO41" s="481"/>
      <c r="AP41" s="481"/>
      <c r="AQ41" s="481"/>
      <c r="AR41" s="481"/>
      <c r="AS41" s="481"/>
      <c r="AT41" s="481"/>
      <c r="AU41" s="481"/>
      <c r="AV41" s="481"/>
      <c r="AW41" s="481"/>
      <c r="AX41" s="481"/>
      <c r="AY41" s="481"/>
      <c r="AZ41" s="481"/>
      <c r="BA41" s="481"/>
      <c r="BB41" s="33"/>
      <c r="BC41" s="34"/>
      <c r="BD41" s="34"/>
      <c r="BE41" s="34"/>
      <c r="BF41" s="34"/>
      <c r="BG41" s="34"/>
      <c r="BH41" s="34"/>
      <c r="BI41" s="34"/>
      <c r="BJ41" s="34"/>
      <c r="BK41" s="34"/>
      <c r="BL41" s="34"/>
      <c r="BM41" s="34"/>
      <c r="BN41" s="34"/>
      <c r="BO41" s="34"/>
      <c r="BP41" s="34"/>
      <c r="BQ41" s="34"/>
      <c r="BR41" s="34"/>
      <c r="BS41" s="34"/>
      <c r="BT41" s="34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</row>
    <row r="42" spans="1:90" ht="8.25" customHeight="1" x14ac:dyDescent="0.15">
      <c r="A42" s="340" t="s">
        <v>166</v>
      </c>
      <c r="B42" s="482" t="s">
        <v>167</v>
      </c>
      <c r="C42" s="469"/>
      <c r="D42" s="469"/>
      <c r="E42" s="469"/>
      <c r="F42" s="469"/>
      <c r="G42" s="91"/>
      <c r="H42" s="91"/>
      <c r="I42" s="474"/>
      <c r="J42" s="474"/>
      <c r="K42" s="474"/>
      <c r="L42" s="474"/>
      <c r="M42" s="474"/>
      <c r="N42" s="474"/>
      <c r="O42" s="474"/>
      <c r="P42" s="474"/>
      <c r="Q42" s="474"/>
      <c r="R42" s="474"/>
      <c r="S42" s="474"/>
      <c r="T42" s="474"/>
      <c r="U42" s="474"/>
      <c r="V42" s="474"/>
      <c r="W42" s="474"/>
      <c r="X42" s="474"/>
      <c r="Y42" s="474"/>
      <c r="Z42" s="474"/>
      <c r="AA42" s="474"/>
      <c r="AB42" s="474"/>
      <c r="AC42" s="474"/>
      <c r="AD42" s="474"/>
      <c r="AE42" s="485"/>
      <c r="AF42" s="475"/>
      <c r="AG42" s="486"/>
      <c r="AH42" s="486"/>
      <c r="AI42" s="475"/>
      <c r="AJ42" s="475"/>
      <c r="AK42" s="481"/>
      <c r="AL42" s="481"/>
      <c r="AM42" s="481"/>
      <c r="AN42" s="481"/>
      <c r="AO42" s="481"/>
      <c r="AP42" s="481"/>
      <c r="AQ42" s="481"/>
      <c r="AR42" s="481"/>
      <c r="AS42" s="481"/>
      <c r="AT42" s="481"/>
      <c r="AU42" s="481"/>
      <c r="AV42" s="481"/>
      <c r="AW42" s="481"/>
      <c r="AX42" s="481"/>
      <c r="AY42" s="481"/>
      <c r="AZ42" s="481"/>
      <c r="BA42" s="481"/>
      <c r="BB42" s="33"/>
      <c r="BC42" s="34"/>
      <c r="BD42" s="34"/>
      <c r="BE42" s="34"/>
      <c r="BF42" s="34"/>
      <c r="BG42" s="34"/>
      <c r="BH42" s="34"/>
      <c r="BI42" s="34"/>
      <c r="BJ42" s="34"/>
      <c r="BK42" s="34"/>
      <c r="BL42" s="34"/>
      <c r="BM42" s="34"/>
      <c r="BN42" s="34"/>
      <c r="BO42" s="34"/>
      <c r="BP42" s="34"/>
      <c r="BQ42" s="34"/>
      <c r="BR42" s="34"/>
      <c r="BS42" s="34"/>
      <c r="BT42" s="34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</row>
    <row r="43" spans="1:90" ht="8.25" customHeight="1" x14ac:dyDescent="0.15">
      <c r="A43" s="340" t="s">
        <v>168</v>
      </c>
      <c r="B43" s="242" t="s">
        <v>169</v>
      </c>
      <c r="C43" s="482"/>
      <c r="D43" s="340"/>
      <c r="E43" s="340"/>
      <c r="F43" s="340"/>
      <c r="G43" s="91"/>
      <c r="H43" s="91"/>
      <c r="I43" s="474"/>
      <c r="J43" s="474"/>
      <c r="K43" s="474"/>
      <c r="L43" s="474"/>
      <c r="M43" s="474"/>
      <c r="N43" s="474"/>
      <c r="O43" s="474"/>
      <c r="P43" s="474"/>
      <c r="Q43" s="474"/>
      <c r="R43" s="474"/>
      <c r="S43" s="474"/>
      <c r="T43" s="474"/>
      <c r="U43" s="474"/>
      <c r="V43" s="474"/>
      <c r="W43" s="474"/>
      <c r="X43" s="474"/>
      <c r="Y43" s="474"/>
      <c r="Z43" s="474"/>
      <c r="AA43" s="474"/>
      <c r="AB43" s="474"/>
      <c r="AC43" s="474"/>
      <c r="AD43" s="474"/>
      <c r="AE43" s="485"/>
      <c r="AF43" s="475"/>
      <c r="AG43" s="486"/>
      <c r="AH43" s="486"/>
      <c r="AI43" s="475"/>
      <c r="AJ43" s="475"/>
      <c r="AK43" s="481"/>
      <c r="AL43" s="481"/>
      <c r="AM43" s="481"/>
      <c r="AN43" s="481"/>
      <c r="AO43" s="481"/>
      <c r="AP43" s="481"/>
      <c r="AQ43" s="481"/>
      <c r="AR43" s="481"/>
      <c r="AS43" s="481"/>
      <c r="AT43" s="481"/>
      <c r="AU43" s="481"/>
      <c r="AV43" s="481"/>
      <c r="AW43" s="481"/>
      <c r="AX43" s="481"/>
      <c r="AY43" s="481"/>
      <c r="AZ43" s="481"/>
      <c r="BA43" s="481"/>
      <c r="BB43" s="33"/>
      <c r="BC43" s="34"/>
      <c r="BD43" s="34"/>
      <c r="BE43" s="34"/>
      <c r="BF43" s="34"/>
      <c r="BG43" s="34"/>
      <c r="BH43" s="34"/>
      <c r="BI43" s="34"/>
      <c r="BJ43" s="34"/>
      <c r="BK43" s="34"/>
      <c r="BL43" s="34"/>
      <c r="BM43" s="34"/>
      <c r="BN43" s="34"/>
      <c r="BO43" s="34"/>
      <c r="BP43" s="34"/>
      <c r="BQ43" s="34"/>
      <c r="BR43" s="34"/>
      <c r="BS43" s="34"/>
      <c r="BT43" s="34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</row>
    <row r="44" spans="1:90" ht="3" customHeight="1" x14ac:dyDescent="0.15">
      <c r="A44" s="340"/>
      <c r="B44" s="242"/>
      <c r="C44" s="482"/>
      <c r="D44" s="340"/>
      <c r="E44" s="340"/>
      <c r="F44" s="340"/>
      <c r="G44" s="91"/>
      <c r="H44" s="91"/>
      <c r="I44" s="474"/>
      <c r="J44" s="474"/>
      <c r="K44" s="474"/>
      <c r="L44" s="474"/>
      <c r="M44" s="474"/>
      <c r="N44" s="474"/>
      <c r="O44" s="474"/>
      <c r="P44" s="474"/>
      <c r="Q44" s="474"/>
      <c r="R44" s="474"/>
      <c r="S44" s="474"/>
      <c r="T44" s="474"/>
      <c r="U44" s="474"/>
      <c r="V44" s="474"/>
      <c r="W44" s="474"/>
      <c r="X44" s="474"/>
      <c r="Y44" s="474"/>
      <c r="Z44" s="474"/>
      <c r="AA44" s="474"/>
      <c r="AB44" s="474"/>
      <c r="AC44" s="474"/>
      <c r="AD44" s="474"/>
      <c r="AE44" s="485"/>
      <c r="AF44" s="475"/>
      <c r="AG44" s="486"/>
      <c r="AH44" s="486"/>
      <c r="AI44" s="475"/>
      <c r="AJ44" s="475"/>
      <c r="AK44" s="481"/>
      <c r="AL44" s="481"/>
      <c r="AM44" s="481"/>
      <c r="AN44" s="481"/>
      <c r="AO44" s="481"/>
      <c r="AP44" s="481"/>
      <c r="AQ44" s="481"/>
      <c r="AR44" s="481"/>
      <c r="AS44" s="481"/>
      <c r="AT44" s="481"/>
      <c r="AU44" s="481"/>
      <c r="AV44" s="481"/>
      <c r="AW44" s="481"/>
      <c r="AX44" s="481"/>
      <c r="AY44" s="481"/>
      <c r="AZ44" s="481"/>
      <c r="BA44" s="481"/>
      <c r="BB44" s="33"/>
      <c r="BC44" s="34"/>
      <c r="BD44" s="34"/>
      <c r="BE44" s="34"/>
      <c r="BF44" s="34"/>
      <c r="BG44" s="34"/>
      <c r="BH44" s="34"/>
      <c r="BI44" s="34"/>
      <c r="BJ44" s="34"/>
      <c r="BK44" s="34"/>
      <c r="BL44" s="34"/>
      <c r="BM44" s="34"/>
      <c r="BN44" s="34"/>
      <c r="BO44" s="34"/>
      <c r="BP44" s="34"/>
      <c r="BQ44" s="34"/>
      <c r="BR44" s="34"/>
      <c r="BS44" s="34"/>
      <c r="BT44" s="34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</row>
    <row r="45" spans="1:90" ht="8.25" customHeight="1" x14ac:dyDescent="0.15">
      <c r="A45" s="488" t="s">
        <v>259</v>
      </c>
      <c r="B45" s="91"/>
      <c r="C45" s="91"/>
      <c r="D45" s="91"/>
      <c r="E45" s="91"/>
      <c r="F45" s="91"/>
      <c r="G45" s="91"/>
      <c r="H45" s="91"/>
      <c r="I45" s="474"/>
      <c r="J45" s="474"/>
      <c r="K45" s="474"/>
      <c r="L45" s="474"/>
      <c r="M45" s="474"/>
      <c r="N45" s="474"/>
      <c r="O45" s="474"/>
      <c r="P45" s="474"/>
      <c r="Q45" s="474"/>
      <c r="R45" s="474"/>
      <c r="S45" s="474"/>
      <c r="T45" s="474"/>
      <c r="U45" s="474"/>
      <c r="V45" s="474"/>
      <c r="W45" s="474"/>
      <c r="X45" s="474"/>
      <c r="Y45" s="474"/>
      <c r="Z45" s="474"/>
      <c r="AA45" s="474"/>
      <c r="AB45" s="474"/>
      <c r="AC45" s="474"/>
      <c r="AD45" s="474"/>
      <c r="AE45" s="485"/>
      <c r="AF45" s="475"/>
      <c r="AG45" s="486"/>
      <c r="AH45" s="486"/>
      <c r="AI45" s="475"/>
      <c r="AJ45" s="475"/>
      <c r="AK45" s="481"/>
      <c r="AL45" s="481"/>
      <c r="AM45" s="481"/>
      <c r="AN45" s="481"/>
      <c r="AO45" s="481"/>
      <c r="AP45" s="481"/>
      <c r="AQ45" s="481"/>
      <c r="AR45" s="481"/>
      <c r="AS45" s="481"/>
      <c r="AT45" s="481"/>
      <c r="AU45" s="481"/>
      <c r="AV45" s="481"/>
      <c r="AW45" s="481"/>
      <c r="AX45" s="481"/>
      <c r="AY45" s="481"/>
      <c r="AZ45" s="481"/>
      <c r="BA45" s="481"/>
      <c r="BB45" s="33"/>
      <c r="BC45" s="34"/>
      <c r="BD45" s="34"/>
      <c r="BE45" s="34"/>
      <c r="BF45" s="34"/>
      <c r="BG45" s="34"/>
      <c r="BH45" s="34"/>
      <c r="BI45" s="34"/>
      <c r="BJ45" s="34"/>
      <c r="BK45" s="34"/>
      <c r="BL45" s="34"/>
      <c r="BM45" s="34"/>
      <c r="BN45" s="34"/>
      <c r="BO45" s="34"/>
      <c r="BP45" s="34"/>
      <c r="BQ45" s="34"/>
      <c r="BR45" s="34"/>
      <c r="BS45" s="34"/>
      <c r="BT45" s="34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</row>
    <row r="46" spans="1:90" ht="8.25" customHeight="1" x14ac:dyDescent="0.15">
      <c r="A46" s="489" t="s">
        <v>256</v>
      </c>
      <c r="B46" s="231"/>
      <c r="C46" s="231"/>
      <c r="D46" s="231"/>
      <c r="E46" s="91"/>
      <c r="F46" s="91"/>
      <c r="G46" s="91"/>
      <c r="H46" s="91"/>
      <c r="I46" s="474"/>
      <c r="J46" s="474"/>
      <c r="K46" s="474"/>
      <c r="L46" s="474"/>
      <c r="M46" s="474"/>
      <c r="N46" s="474"/>
      <c r="O46" s="474"/>
      <c r="P46" s="474"/>
      <c r="Q46" s="474"/>
      <c r="R46" s="474"/>
      <c r="S46" s="474"/>
      <c r="T46" s="474"/>
      <c r="U46" s="474"/>
      <c r="V46" s="474"/>
      <c r="W46" s="474"/>
      <c r="X46" s="474"/>
      <c r="Y46" s="474"/>
      <c r="Z46" s="474"/>
      <c r="AA46" s="474"/>
      <c r="AB46" s="474"/>
      <c r="AC46" s="474"/>
      <c r="AD46" s="474"/>
      <c r="AE46" s="485"/>
      <c r="AF46" s="475"/>
      <c r="AG46" s="486"/>
      <c r="AH46" s="486"/>
      <c r="AI46" s="475"/>
      <c r="AJ46" s="475"/>
      <c r="AK46" s="481"/>
      <c r="AL46" s="481"/>
      <c r="AM46" s="481"/>
      <c r="AN46" s="481"/>
      <c r="AO46" s="481"/>
      <c r="AP46" s="481"/>
      <c r="AQ46" s="481"/>
      <c r="AR46" s="481"/>
      <c r="AS46" s="481"/>
      <c r="AT46" s="481"/>
      <c r="AU46" s="481"/>
      <c r="AV46" s="481"/>
      <c r="AW46" s="481"/>
      <c r="AX46" s="481"/>
      <c r="AY46" s="481"/>
      <c r="AZ46" s="481"/>
      <c r="BA46" s="481"/>
      <c r="BB46" s="33"/>
      <c r="BC46" s="34"/>
      <c r="BD46" s="34"/>
      <c r="BE46" s="34"/>
      <c r="BF46" s="34"/>
      <c r="BG46" s="34"/>
      <c r="BH46" s="34"/>
      <c r="BI46" s="34"/>
      <c r="BJ46" s="34"/>
      <c r="BK46" s="34"/>
      <c r="BL46" s="34"/>
      <c r="BM46" s="34"/>
      <c r="BN46" s="34"/>
      <c r="BO46" s="34"/>
      <c r="BP46" s="34"/>
      <c r="BQ46" s="34"/>
      <c r="BR46" s="34"/>
      <c r="BS46" s="34"/>
      <c r="BT46" s="34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</row>
    <row r="47" spans="1:90" ht="8.25" customHeight="1" x14ac:dyDescent="0.15">
      <c r="A47" s="489" t="s">
        <v>255</v>
      </c>
      <c r="B47" s="231"/>
      <c r="C47" s="231"/>
      <c r="D47" s="231"/>
      <c r="E47" s="91"/>
      <c r="F47" s="91"/>
      <c r="G47" s="91"/>
      <c r="H47" s="91"/>
      <c r="I47" s="474"/>
      <c r="J47" s="474"/>
      <c r="K47" s="474"/>
      <c r="L47" s="474"/>
      <c r="M47" s="474"/>
      <c r="N47" s="474"/>
      <c r="O47" s="474"/>
      <c r="P47" s="474"/>
      <c r="Q47" s="474"/>
      <c r="R47" s="474"/>
      <c r="S47" s="474"/>
      <c r="T47" s="474"/>
      <c r="U47" s="474"/>
      <c r="V47" s="474"/>
      <c r="W47" s="474"/>
      <c r="X47" s="474"/>
      <c r="Y47" s="474"/>
      <c r="Z47" s="474"/>
      <c r="AA47" s="474"/>
      <c r="AB47" s="474"/>
      <c r="AC47" s="474"/>
      <c r="AD47" s="474"/>
      <c r="AE47" s="485"/>
      <c r="AF47" s="475"/>
      <c r="AG47" s="486"/>
      <c r="AH47" s="486"/>
      <c r="AI47" s="475"/>
      <c r="AJ47" s="475"/>
      <c r="AK47" s="481"/>
      <c r="AL47" s="481"/>
      <c r="AM47" s="481"/>
      <c r="AN47" s="481"/>
      <c r="AO47" s="481"/>
      <c r="AP47" s="481"/>
      <c r="AQ47" s="481"/>
      <c r="AR47" s="481"/>
      <c r="AS47" s="481"/>
      <c r="AT47" s="481"/>
      <c r="AU47" s="481"/>
      <c r="AV47" s="481"/>
      <c r="AW47" s="481"/>
      <c r="AX47" s="481"/>
      <c r="AY47" s="481"/>
      <c r="AZ47" s="481"/>
      <c r="BA47" s="481"/>
      <c r="BB47" s="33"/>
      <c r="BC47" s="34"/>
      <c r="BD47" s="34"/>
      <c r="BE47" s="34"/>
      <c r="BF47" s="34"/>
      <c r="BG47" s="34"/>
      <c r="BH47" s="34"/>
      <c r="BI47" s="34"/>
      <c r="BJ47" s="34"/>
      <c r="BK47" s="34"/>
      <c r="BL47" s="34"/>
      <c r="BM47" s="34"/>
      <c r="BN47" s="34"/>
      <c r="BO47" s="34"/>
      <c r="BP47" s="34"/>
      <c r="BQ47" s="34"/>
      <c r="BR47" s="34"/>
      <c r="BS47" s="34"/>
      <c r="BT47" s="34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</row>
    <row r="48" spans="1:90" ht="8.25" customHeight="1" x14ac:dyDescent="0.15">
      <c r="A48" s="489" t="s">
        <v>253</v>
      </c>
      <c r="B48" s="114"/>
      <c r="C48" s="490"/>
      <c r="D48" s="231"/>
      <c r="E48" s="489"/>
      <c r="F48" s="231"/>
      <c r="G48" s="91"/>
      <c r="H48" s="91"/>
      <c r="I48" s="474"/>
      <c r="J48" s="474"/>
      <c r="K48" s="474"/>
      <c r="L48" s="474"/>
      <c r="M48" s="474"/>
      <c r="N48" s="474"/>
      <c r="O48" s="474"/>
      <c r="P48" s="474"/>
      <c r="Q48" s="474"/>
      <c r="R48" s="474"/>
      <c r="S48" s="474"/>
      <c r="T48" s="474"/>
      <c r="U48" s="474"/>
      <c r="V48" s="474"/>
      <c r="W48" s="474"/>
      <c r="X48" s="474"/>
      <c r="Y48" s="474"/>
      <c r="Z48" s="474"/>
      <c r="AA48" s="474"/>
      <c r="AB48" s="474"/>
      <c r="AC48" s="474"/>
      <c r="AD48" s="474"/>
      <c r="AE48" s="485"/>
      <c r="AF48" s="475"/>
      <c r="AG48" s="486"/>
      <c r="AH48" s="486"/>
      <c r="AI48" s="475"/>
      <c r="AJ48" s="475"/>
      <c r="AK48" s="481"/>
      <c r="AL48" s="481"/>
      <c r="AM48" s="481"/>
      <c r="AN48" s="481"/>
      <c r="AO48" s="481"/>
      <c r="AP48" s="481"/>
      <c r="AQ48" s="481"/>
      <c r="AR48" s="481"/>
      <c r="AS48" s="481"/>
      <c r="AT48" s="481"/>
      <c r="AU48" s="481"/>
      <c r="AV48" s="481"/>
      <c r="AW48" s="481"/>
      <c r="AX48" s="481"/>
      <c r="AY48" s="481"/>
      <c r="AZ48" s="481"/>
      <c r="BA48" s="481"/>
      <c r="BB48" s="33"/>
      <c r="BC48" s="34"/>
      <c r="BD48" s="34"/>
      <c r="BE48" s="34"/>
      <c r="BF48" s="34"/>
      <c r="BG48" s="34"/>
      <c r="BH48" s="34"/>
      <c r="BI48" s="34"/>
      <c r="BJ48" s="34"/>
      <c r="BK48" s="34"/>
      <c r="BL48" s="34"/>
      <c r="BM48" s="34"/>
      <c r="BN48" s="34"/>
      <c r="BO48" s="34"/>
      <c r="BP48" s="34"/>
      <c r="BQ48" s="34"/>
      <c r="BR48" s="34"/>
      <c r="BS48" s="34"/>
      <c r="BT48" s="34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</row>
    <row r="49" spans="1:90" ht="3" customHeight="1" x14ac:dyDescent="0.15">
      <c r="A49" s="489"/>
      <c r="B49" s="490"/>
      <c r="C49" s="492"/>
      <c r="D49" s="231"/>
      <c r="E49" s="91"/>
      <c r="F49" s="493"/>
      <c r="G49" s="91"/>
      <c r="H49" s="114" t="s">
        <v>113</v>
      </c>
      <c r="I49" s="474"/>
      <c r="J49" s="474"/>
      <c r="K49" s="474"/>
      <c r="L49" s="474"/>
      <c r="M49" s="474"/>
      <c r="N49" s="474"/>
      <c r="O49" s="474"/>
      <c r="P49" s="474"/>
      <c r="Q49" s="474"/>
      <c r="R49" s="474"/>
      <c r="S49" s="474"/>
      <c r="T49" s="474"/>
      <c r="U49" s="474"/>
      <c r="V49" s="474"/>
      <c r="W49" s="474"/>
      <c r="X49" s="474"/>
      <c r="Y49" s="474"/>
      <c r="Z49" s="474"/>
      <c r="AA49" s="474"/>
      <c r="AB49" s="474"/>
      <c r="AC49" s="474"/>
      <c r="AD49" s="474"/>
      <c r="AE49" s="485"/>
      <c r="AF49" s="475"/>
      <c r="AG49" s="494"/>
      <c r="AH49" s="494"/>
      <c r="AI49" s="475"/>
      <c r="AJ49" s="475"/>
      <c r="AK49" s="481"/>
      <c r="AL49" s="481"/>
      <c r="AM49" s="481"/>
      <c r="AN49" s="481"/>
      <c r="AO49" s="481"/>
      <c r="AP49" s="481"/>
      <c r="AQ49" s="481"/>
      <c r="AR49" s="481"/>
      <c r="AS49" s="481"/>
      <c r="AT49" s="481"/>
      <c r="AU49" s="481"/>
      <c r="AV49" s="481"/>
      <c r="AW49" s="481"/>
      <c r="AX49" s="481"/>
      <c r="AY49" s="481"/>
      <c r="AZ49" s="481"/>
      <c r="BA49" s="481"/>
      <c r="BB49" s="33"/>
      <c r="BC49" s="34"/>
      <c r="BD49" s="34"/>
      <c r="BE49" s="34"/>
      <c r="BF49" s="34"/>
      <c r="BG49" s="34"/>
      <c r="BH49" s="34"/>
      <c r="BI49" s="34"/>
      <c r="BJ49" s="34"/>
      <c r="BK49" s="34"/>
      <c r="BL49" s="34"/>
      <c r="BM49" s="34"/>
      <c r="BN49" s="34"/>
      <c r="BO49" s="34"/>
      <c r="BP49" s="34"/>
      <c r="BQ49" s="34"/>
      <c r="BR49" s="34"/>
      <c r="BS49" s="34"/>
      <c r="BT49" s="34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</row>
    <row r="50" spans="1:90" ht="8.25" customHeight="1" x14ac:dyDescent="0.15">
      <c r="A50" s="103" t="s">
        <v>258</v>
      </c>
      <c r="B50" s="490"/>
      <c r="C50" s="492"/>
      <c r="D50" s="231"/>
      <c r="E50" s="91"/>
      <c r="F50" s="493"/>
      <c r="G50" s="91"/>
      <c r="H50" s="114"/>
      <c r="I50" s="474"/>
      <c r="J50" s="474"/>
      <c r="K50" s="474"/>
      <c r="L50" s="474"/>
      <c r="M50" s="474"/>
      <c r="N50" s="474"/>
      <c r="O50" s="474"/>
      <c r="P50" s="474"/>
      <c r="Q50" s="474"/>
      <c r="R50" s="474"/>
      <c r="S50" s="474"/>
      <c r="T50" s="474"/>
      <c r="U50" s="474"/>
      <c r="V50" s="474"/>
      <c r="W50" s="474"/>
      <c r="X50" s="474"/>
      <c r="Y50" s="474"/>
      <c r="Z50" s="474"/>
      <c r="AA50" s="474"/>
      <c r="AB50" s="474"/>
      <c r="AC50" s="474"/>
      <c r="AD50" s="474"/>
      <c r="AE50" s="485"/>
      <c r="AF50" s="475"/>
      <c r="AG50" s="494"/>
      <c r="AH50" s="494"/>
      <c r="AI50" s="475"/>
      <c r="AJ50" s="475"/>
      <c r="AK50" s="481"/>
      <c r="AL50" s="481"/>
      <c r="AM50" s="481"/>
      <c r="AN50" s="481"/>
      <c r="AO50" s="481"/>
      <c r="AP50" s="481"/>
      <c r="AQ50" s="481"/>
      <c r="AR50" s="481"/>
      <c r="AS50" s="481"/>
      <c r="AT50" s="481"/>
      <c r="AU50" s="481"/>
      <c r="AV50" s="481"/>
      <c r="AW50" s="481"/>
      <c r="AX50" s="481"/>
      <c r="AY50" s="481"/>
      <c r="AZ50" s="481"/>
      <c r="BA50" s="481"/>
      <c r="BB50" s="33"/>
      <c r="BC50" s="34"/>
      <c r="BD50" s="34"/>
      <c r="BE50" s="34"/>
      <c r="BF50" s="34"/>
      <c r="BG50" s="34"/>
      <c r="BH50" s="34"/>
      <c r="BI50" s="34"/>
      <c r="BJ50" s="34"/>
      <c r="BK50" s="34"/>
      <c r="BL50" s="34"/>
      <c r="BM50" s="34"/>
      <c r="BN50" s="34"/>
      <c r="BO50" s="34"/>
      <c r="BP50" s="34"/>
      <c r="BQ50" s="34"/>
      <c r="BR50" s="34"/>
      <c r="BS50" s="34"/>
      <c r="BT50" s="34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</row>
    <row r="51" spans="1:90" ht="8.25" customHeight="1" x14ac:dyDescent="0.15">
      <c r="A51" s="103" t="s">
        <v>257</v>
      </c>
      <c r="B51" s="489"/>
      <c r="C51" s="231"/>
      <c r="D51" s="231"/>
      <c r="E51" s="91"/>
      <c r="F51" s="493"/>
      <c r="G51" s="491"/>
      <c r="H51" s="491"/>
      <c r="I51" s="474"/>
      <c r="J51" s="474"/>
      <c r="K51" s="474"/>
      <c r="L51" s="474"/>
      <c r="M51" s="474"/>
      <c r="N51" s="474"/>
      <c r="O51" s="474"/>
      <c r="P51" s="474"/>
      <c r="Q51" s="474"/>
      <c r="R51" s="474"/>
      <c r="S51" s="474"/>
      <c r="T51" s="474"/>
      <c r="U51" s="474"/>
      <c r="V51" s="474"/>
      <c r="W51" s="474"/>
      <c r="X51" s="474"/>
      <c r="Y51" s="474"/>
      <c r="Z51" s="474"/>
      <c r="AA51" s="474"/>
      <c r="AB51" s="474"/>
      <c r="AC51" s="474"/>
      <c r="AD51" s="474"/>
      <c r="AE51" s="485"/>
      <c r="AF51" s="475"/>
      <c r="AG51" s="494"/>
      <c r="AH51" s="494"/>
      <c r="AI51" s="475"/>
      <c r="AJ51" s="475"/>
      <c r="AK51" s="481"/>
      <c r="AL51" s="481"/>
      <c r="AM51" s="481"/>
      <c r="AN51" s="481"/>
      <c r="AO51" s="481"/>
      <c r="AP51" s="481"/>
      <c r="AQ51" s="481"/>
      <c r="AR51" s="481"/>
      <c r="AS51" s="481"/>
      <c r="AT51" s="481"/>
      <c r="AU51" s="481"/>
      <c r="AV51" s="481"/>
      <c r="AW51" s="481"/>
      <c r="AX51" s="481"/>
      <c r="AY51" s="481"/>
      <c r="AZ51" s="481"/>
      <c r="BA51" s="481"/>
      <c r="BB51" s="33"/>
      <c r="BC51" s="34"/>
      <c r="BD51" s="34"/>
      <c r="BE51" s="34"/>
      <c r="BF51" s="34"/>
      <c r="BG51" s="34"/>
      <c r="BH51" s="34"/>
      <c r="BI51" s="34"/>
      <c r="BJ51" s="34"/>
      <c r="BK51" s="34"/>
      <c r="BL51" s="34"/>
      <c r="BM51" s="34"/>
      <c r="BN51" s="34"/>
      <c r="BO51" s="34"/>
      <c r="BP51" s="34"/>
      <c r="BQ51" s="34"/>
      <c r="BR51" s="34"/>
      <c r="BS51" s="34"/>
      <c r="BT51" s="34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</row>
    <row r="52" spans="1:90" ht="8.25" customHeight="1" x14ac:dyDescent="0.15">
      <c r="A52" s="496" t="s">
        <v>91</v>
      </c>
      <c r="B52" s="491"/>
      <c r="C52" s="491"/>
      <c r="D52" s="496" t="s">
        <v>91</v>
      </c>
      <c r="E52" s="491"/>
      <c r="F52" s="491"/>
      <c r="G52" s="491"/>
      <c r="H52" s="497" t="s">
        <v>91</v>
      </c>
      <c r="I52" s="474"/>
      <c r="J52" s="474"/>
      <c r="K52" s="474"/>
      <c r="L52" s="474"/>
      <c r="M52" s="474"/>
      <c r="N52" s="474"/>
      <c r="O52" s="474"/>
      <c r="P52" s="474"/>
      <c r="Q52" s="474"/>
      <c r="R52" s="474"/>
      <c r="S52" s="474"/>
      <c r="T52" s="474"/>
      <c r="U52" s="474"/>
      <c r="V52" s="474"/>
      <c r="W52" s="474"/>
      <c r="X52" s="474"/>
      <c r="Y52" s="474"/>
      <c r="Z52" s="474"/>
      <c r="AA52" s="474"/>
      <c r="AB52" s="474"/>
      <c r="AC52" s="474"/>
      <c r="AD52" s="474"/>
      <c r="AE52" s="485"/>
      <c r="AF52" s="475"/>
      <c r="AG52" s="494"/>
      <c r="AH52" s="494"/>
      <c r="AI52" s="475"/>
      <c r="AJ52" s="475"/>
      <c r="AK52" s="481"/>
      <c r="AL52" s="481"/>
      <c r="AM52" s="481"/>
      <c r="AN52" s="481"/>
      <c r="AO52" s="481"/>
      <c r="AP52" s="481"/>
      <c r="AQ52" s="481"/>
      <c r="AR52" s="481"/>
      <c r="AS52" s="481"/>
      <c r="AT52" s="481"/>
      <c r="AU52" s="481"/>
      <c r="AV52" s="481"/>
      <c r="AW52" s="481"/>
      <c r="AX52" s="481"/>
      <c r="AY52" s="481"/>
      <c r="AZ52" s="481"/>
      <c r="BA52" s="481"/>
      <c r="BB52" s="33"/>
      <c r="BC52" s="34"/>
      <c r="BD52" s="34"/>
      <c r="BE52" s="34"/>
      <c r="BF52" s="34"/>
      <c r="BG52" s="34"/>
      <c r="BH52" s="34"/>
      <c r="BI52" s="34"/>
      <c r="BJ52" s="34"/>
      <c r="BK52" s="34"/>
      <c r="BL52" s="34"/>
      <c r="BM52" s="34"/>
      <c r="BN52" s="34"/>
      <c r="BO52" s="34"/>
      <c r="BP52" s="34"/>
      <c r="BQ52" s="34"/>
      <c r="BR52" s="34"/>
      <c r="BS52" s="34"/>
      <c r="BT52" s="34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</row>
    <row r="53" spans="1:90" ht="8.25" customHeight="1" x14ac:dyDescent="0.15">
      <c r="A53" s="495" t="s">
        <v>254</v>
      </c>
      <c r="B53" s="91"/>
      <c r="C53" s="92"/>
      <c r="D53" s="91"/>
      <c r="E53" s="92"/>
      <c r="F53" s="91"/>
      <c r="G53" s="91"/>
      <c r="H53" s="464"/>
      <c r="I53" s="474"/>
      <c r="J53" s="474"/>
      <c r="K53" s="474"/>
      <c r="L53" s="474"/>
      <c r="M53" s="474"/>
      <c r="N53" s="474"/>
      <c r="O53" s="474"/>
      <c r="P53" s="474"/>
      <c r="Q53" s="474"/>
      <c r="R53" s="474"/>
      <c r="S53" s="474"/>
      <c r="T53" s="474"/>
      <c r="U53" s="474"/>
      <c r="V53" s="474"/>
      <c r="W53" s="474"/>
      <c r="X53" s="474"/>
      <c r="Y53" s="474"/>
      <c r="Z53" s="474"/>
      <c r="AA53" s="474"/>
      <c r="AB53" s="474"/>
      <c r="AC53" s="474"/>
      <c r="AD53" s="474"/>
      <c r="AE53" s="485"/>
      <c r="AF53" s="475"/>
      <c r="AG53" s="494"/>
      <c r="AH53" s="494"/>
      <c r="AI53" s="475"/>
      <c r="AJ53" s="475"/>
      <c r="AK53" s="481"/>
      <c r="AL53" s="481"/>
      <c r="AM53" s="481"/>
      <c r="AN53" s="481"/>
      <c r="AO53" s="481"/>
      <c r="AP53" s="481"/>
      <c r="AQ53" s="481"/>
      <c r="AR53" s="481"/>
      <c r="AS53" s="481"/>
      <c r="AT53" s="481"/>
      <c r="AU53" s="481"/>
      <c r="AV53" s="481"/>
      <c r="AW53" s="481"/>
      <c r="AX53" s="481"/>
      <c r="AY53" s="481"/>
      <c r="AZ53" s="481"/>
      <c r="BA53" s="481"/>
      <c r="BB53" s="33"/>
      <c r="BC53" s="34"/>
      <c r="BD53" s="34"/>
      <c r="BE53" s="34"/>
      <c r="BF53" s="34"/>
      <c r="BG53" s="34"/>
      <c r="BH53" s="34"/>
      <c r="BI53" s="34"/>
      <c r="BJ53" s="34"/>
      <c r="BK53" s="34"/>
      <c r="BL53" s="34"/>
      <c r="BM53" s="34"/>
      <c r="BN53" s="34"/>
      <c r="BO53" s="34"/>
      <c r="BP53" s="34"/>
      <c r="BQ53" s="34"/>
      <c r="BR53" s="34"/>
      <c r="BS53" s="34"/>
      <c r="BT53" s="34"/>
      <c r="BU53" s="5"/>
      <c r="BV53" s="5"/>
      <c r="BW53" s="5"/>
      <c r="BX53" s="5"/>
      <c r="BY53" s="5"/>
      <c r="BZ53" s="5"/>
      <c r="CA53" s="5"/>
      <c r="CB53" s="5"/>
      <c r="CC53" s="5"/>
      <c r="CD53" s="5"/>
      <c r="CE53" s="5"/>
      <c r="CF53" s="5"/>
      <c r="CG53" s="5"/>
      <c r="CH53" s="5"/>
      <c r="CI53" s="5"/>
      <c r="CJ53" s="5"/>
      <c r="CK53" s="5"/>
      <c r="CL53" s="5"/>
    </row>
    <row r="54" spans="1:90" ht="10.35" hidden="1" customHeight="1" x14ac:dyDescent="0.15">
      <c r="A54" s="4"/>
      <c r="B54" s="35"/>
      <c r="C54" s="35"/>
      <c r="D54" s="11"/>
      <c r="E54" s="35"/>
      <c r="F54" s="35"/>
      <c r="G54" s="35"/>
      <c r="H54" s="11"/>
      <c r="I54" s="30"/>
      <c r="J54" s="30"/>
      <c r="K54" s="30"/>
      <c r="L54" s="30"/>
      <c r="M54" s="30"/>
      <c r="N54" s="30"/>
      <c r="O54" s="30"/>
      <c r="P54" s="11"/>
      <c r="Q54" s="6"/>
      <c r="R54" s="11"/>
      <c r="S54" s="16"/>
      <c r="T54" s="11"/>
      <c r="U54" s="4"/>
      <c r="V54" s="11"/>
      <c r="W54" s="11"/>
      <c r="X54" s="11"/>
      <c r="Y54" s="11"/>
      <c r="Z54" s="11"/>
      <c r="AA54" s="11"/>
      <c r="AB54" s="11"/>
      <c r="AC54" s="11"/>
      <c r="AD54" s="11"/>
      <c r="AE54" s="68"/>
      <c r="AF54" s="31"/>
      <c r="AG54" s="32"/>
      <c r="AH54" s="32"/>
      <c r="AI54" s="31"/>
      <c r="AJ54" s="31"/>
      <c r="AK54" s="33"/>
      <c r="AL54" s="33"/>
      <c r="AM54" s="33"/>
      <c r="AN54" s="33"/>
      <c r="AO54" s="33"/>
      <c r="AP54" s="33"/>
      <c r="AQ54" s="33"/>
      <c r="AR54" s="33"/>
      <c r="AS54" s="33"/>
      <c r="AT54" s="33"/>
      <c r="AU54" s="33"/>
      <c r="AV54" s="33"/>
      <c r="AW54" s="33"/>
      <c r="AX54" s="33"/>
      <c r="AY54" s="33"/>
      <c r="AZ54" s="33"/>
      <c r="BA54" s="33"/>
      <c r="BB54" s="33"/>
      <c r="BC54" s="34"/>
      <c r="BD54" s="34"/>
      <c r="BE54" s="34"/>
      <c r="BF54" s="34"/>
      <c r="BG54" s="34"/>
      <c r="BH54" s="34"/>
      <c r="BI54" s="34"/>
      <c r="BJ54" s="34"/>
      <c r="BK54" s="34"/>
      <c r="BL54" s="34"/>
      <c r="BM54" s="34"/>
      <c r="BN54" s="34"/>
      <c r="BO54" s="34"/>
      <c r="BP54" s="34"/>
      <c r="BQ54" s="34"/>
      <c r="BR54" s="34"/>
      <c r="BS54" s="34"/>
      <c r="BT54" s="34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5"/>
      <c r="CI54" s="5"/>
      <c r="CJ54" s="5"/>
      <c r="CK54" s="5"/>
      <c r="CL54" s="5"/>
    </row>
    <row r="55" spans="1:90" ht="10.35" hidden="1" customHeight="1" x14ac:dyDescent="0.15">
      <c r="A55" s="4"/>
      <c r="B55" s="35"/>
      <c r="C55" s="35"/>
      <c r="D55" s="11"/>
      <c r="E55" s="35"/>
      <c r="F55" s="35"/>
      <c r="G55" s="35"/>
      <c r="H55" s="11"/>
      <c r="I55" s="30"/>
      <c r="J55" s="30"/>
      <c r="K55" s="30"/>
      <c r="L55" s="30"/>
      <c r="M55" s="30"/>
      <c r="N55" s="30"/>
      <c r="O55" s="30"/>
      <c r="P55" s="11"/>
      <c r="Q55" s="6"/>
      <c r="R55" s="11"/>
      <c r="S55" s="16"/>
      <c r="T55" s="11"/>
      <c r="U55" s="4"/>
      <c r="V55" s="11"/>
      <c r="W55" s="11"/>
      <c r="X55" s="11"/>
      <c r="Y55" s="11"/>
      <c r="Z55" s="11"/>
      <c r="AA55" s="11"/>
      <c r="AB55" s="11"/>
      <c r="AC55" s="11"/>
      <c r="AD55" s="11"/>
      <c r="AE55" s="68"/>
      <c r="AF55" s="31"/>
      <c r="AG55" s="32"/>
      <c r="AH55" s="32"/>
      <c r="AI55" s="31"/>
      <c r="AJ55" s="31"/>
      <c r="AK55" s="33"/>
      <c r="AL55" s="33"/>
      <c r="AM55" s="33"/>
      <c r="AN55" s="33"/>
      <c r="AO55" s="33"/>
      <c r="AP55" s="33"/>
      <c r="AQ55" s="33"/>
      <c r="AR55" s="33"/>
      <c r="AS55" s="33"/>
      <c r="AT55" s="33"/>
      <c r="AU55" s="33"/>
      <c r="AV55" s="33"/>
      <c r="AW55" s="33"/>
      <c r="AX55" s="33"/>
      <c r="AY55" s="33"/>
      <c r="AZ55" s="33"/>
      <c r="BA55" s="33"/>
      <c r="BB55" s="33"/>
      <c r="BC55" s="34"/>
      <c r="BD55" s="34"/>
      <c r="BE55" s="34"/>
      <c r="BF55" s="34"/>
      <c r="BG55" s="34"/>
      <c r="BH55" s="34"/>
      <c r="BI55" s="34"/>
      <c r="BJ55" s="34"/>
      <c r="BK55" s="34"/>
      <c r="BL55" s="34"/>
      <c r="BM55" s="34"/>
      <c r="BN55" s="34"/>
      <c r="BO55" s="34"/>
      <c r="BP55" s="34"/>
      <c r="BQ55" s="34"/>
      <c r="BR55" s="34"/>
      <c r="BS55" s="34"/>
      <c r="BT55" s="34"/>
      <c r="BU55" s="5"/>
      <c r="BV55" s="5"/>
      <c r="BW55" s="5"/>
      <c r="BX55" s="5"/>
      <c r="BY55" s="5"/>
      <c r="BZ55" s="5"/>
      <c r="CA55" s="5"/>
      <c r="CB55" s="5"/>
      <c r="CC55" s="5"/>
      <c r="CD55" s="5"/>
      <c r="CE55" s="5"/>
      <c r="CF55" s="5"/>
      <c r="CG55" s="5"/>
      <c r="CH55" s="5"/>
      <c r="CI55" s="5"/>
      <c r="CJ55" s="5"/>
      <c r="CK55" s="5"/>
      <c r="CL55" s="5"/>
    </row>
    <row r="56" spans="1:90" ht="10.35" hidden="1" customHeight="1" x14ac:dyDescent="0.15">
      <c r="A56" s="4"/>
      <c r="B56" s="35"/>
      <c r="C56" s="35"/>
      <c r="D56" s="11"/>
      <c r="E56" s="35"/>
      <c r="F56" s="35"/>
      <c r="G56" s="35"/>
      <c r="H56" s="11"/>
      <c r="I56" s="30"/>
      <c r="J56" s="30"/>
      <c r="K56" s="30"/>
      <c r="L56" s="30"/>
      <c r="M56" s="30"/>
      <c r="N56" s="30"/>
      <c r="O56" s="30"/>
      <c r="P56" s="11"/>
      <c r="Q56" s="6"/>
      <c r="R56" s="11"/>
      <c r="S56" s="16"/>
      <c r="T56" s="11"/>
      <c r="U56" s="4"/>
      <c r="V56" s="11"/>
      <c r="W56" s="11"/>
      <c r="X56" s="11"/>
      <c r="Y56" s="11"/>
      <c r="Z56" s="11"/>
      <c r="AA56" s="11"/>
      <c r="AB56" s="11"/>
      <c r="AC56" s="11"/>
      <c r="AD56" s="11"/>
      <c r="AE56" s="68"/>
      <c r="AF56" s="31"/>
      <c r="AG56" s="32"/>
      <c r="AH56" s="32"/>
      <c r="AI56" s="31"/>
      <c r="AJ56" s="31"/>
      <c r="AK56" s="33"/>
      <c r="AL56" s="33"/>
      <c r="AM56" s="33"/>
      <c r="AN56" s="33"/>
      <c r="AO56" s="33"/>
      <c r="AP56" s="33"/>
      <c r="AQ56" s="33"/>
      <c r="AR56" s="33"/>
      <c r="AS56" s="33"/>
      <c r="AT56" s="33"/>
      <c r="AU56" s="33"/>
      <c r="AV56" s="33"/>
      <c r="AW56" s="33"/>
      <c r="AX56" s="33"/>
      <c r="AY56" s="33"/>
      <c r="AZ56" s="33"/>
      <c r="BA56" s="33"/>
      <c r="BB56" s="33"/>
      <c r="BC56" s="34"/>
      <c r="BD56" s="34"/>
      <c r="BE56" s="34"/>
      <c r="BF56" s="34"/>
      <c r="BG56" s="34"/>
      <c r="BH56" s="34"/>
      <c r="BI56" s="34"/>
      <c r="BJ56" s="34"/>
      <c r="BK56" s="34"/>
      <c r="BL56" s="34"/>
      <c r="BM56" s="34"/>
      <c r="BN56" s="34"/>
      <c r="BO56" s="34"/>
      <c r="BP56" s="34"/>
      <c r="BQ56" s="34"/>
      <c r="BR56" s="34"/>
      <c r="BS56" s="34"/>
      <c r="BT56" s="34"/>
      <c r="BU56" s="5"/>
      <c r="BV56" s="5"/>
      <c r="BW56" s="5"/>
      <c r="BX56" s="5"/>
      <c r="BY56" s="5"/>
      <c r="BZ56" s="5"/>
      <c r="CA56" s="5"/>
      <c r="CB56" s="5"/>
      <c r="CC56" s="5"/>
      <c r="CD56" s="5"/>
      <c r="CE56" s="5"/>
      <c r="CF56" s="5"/>
      <c r="CG56" s="5"/>
      <c r="CH56" s="5"/>
      <c r="CI56" s="5"/>
      <c r="CJ56" s="5"/>
      <c r="CK56" s="5"/>
      <c r="CL56" s="5"/>
    </row>
    <row r="57" spans="1:90" ht="10.35" hidden="1" customHeight="1" x14ac:dyDescent="0.15">
      <c r="A57" s="4"/>
      <c r="B57" s="35"/>
      <c r="C57" s="35"/>
      <c r="D57" s="11"/>
      <c r="E57" s="35"/>
      <c r="F57" s="35"/>
      <c r="G57" s="35"/>
      <c r="H57" s="11"/>
      <c r="I57" s="30"/>
      <c r="J57" s="30"/>
      <c r="K57" s="30"/>
      <c r="L57" s="30"/>
      <c r="M57" s="30"/>
      <c r="N57" s="30"/>
      <c r="O57" s="30"/>
      <c r="P57" s="11"/>
      <c r="Q57" s="6"/>
      <c r="R57" s="11"/>
      <c r="S57" s="16"/>
      <c r="T57" s="11"/>
      <c r="U57" s="4"/>
      <c r="V57" s="11"/>
      <c r="W57" s="11"/>
      <c r="X57" s="11"/>
      <c r="Y57" s="11"/>
      <c r="Z57" s="11"/>
      <c r="AA57" s="11"/>
      <c r="AB57" s="11"/>
      <c r="AC57" s="11"/>
      <c r="AD57" s="11"/>
      <c r="AE57" s="68"/>
      <c r="AF57" s="31"/>
      <c r="AG57" s="32"/>
      <c r="AH57" s="32"/>
      <c r="AI57" s="31"/>
      <c r="AJ57" s="31"/>
      <c r="AK57" s="33"/>
      <c r="AL57" s="33"/>
      <c r="AM57" s="33"/>
      <c r="AN57" s="33"/>
      <c r="AO57" s="33"/>
      <c r="AP57" s="33"/>
      <c r="AQ57" s="33"/>
      <c r="AR57" s="33"/>
      <c r="AS57" s="33"/>
      <c r="AT57" s="33"/>
      <c r="AU57" s="33"/>
      <c r="AV57" s="33"/>
      <c r="AW57" s="33"/>
      <c r="AX57" s="33"/>
      <c r="AY57" s="33"/>
      <c r="AZ57" s="33"/>
      <c r="BA57" s="33"/>
      <c r="BB57" s="33"/>
      <c r="BC57" s="34"/>
      <c r="BD57" s="34"/>
      <c r="BE57" s="34"/>
      <c r="BF57" s="34"/>
      <c r="BG57" s="34"/>
      <c r="BH57" s="34"/>
      <c r="BI57" s="34"/>
      <c r="BJ57" s="34"/>
      <c r="BK57" s="34"/>
      <c r="BL57" s="34"/>
      <c r="BM57" s="34"/>
      <c r="BN57" s="34"/>
      <c r="BO57" s="34"/>
      <c r="BP57" s="34"/>
      <c r="BQ57" s="34"/>
      <c r="BR57" s="34"/>
      <c r="BS57" s="34"/>
      <c r="BT57" s="34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</row>
    <row r="58" spans="1:90" ht="10.35" hidden="1" customHeight="1" x14ac:dyDescent="0.15">
      <c r="A58" s="4"/>
      <c r="B58" s="35"/>
      <c r="C58" s="35"/>
      <c r="D58" s="11"/>
      <c r="E58" s="35"/>
      <c r="F58" s="35"/>
      <c r="G58" s="35"/>
      <c r="H58" s="11"/>
      <c r="I58" s="30"/>
      <c r="J58" s="30"/>
      <c r="K58" s="30"/>
      <c r="L58" s="30"/>
      <c r="M58" s="30"/>
      <c r="N58" s="30"/>
      <c r="O58" s="30"/>
      <c r="P58" s="11"/>
      <c r="Q58" s="6"/>
      <c r="R58" s="11"/>
      <c r="S58" s="16"/>
      <c r="T58" s="11"/>
      <c r="U58" s="4"/>
      <c r="V58" s="11"/>
      <c r="W58" s="11"/>
      <c r="X58" s="11"/>
      <c r="Y58" s="11"/>
      <c r="Z58" s="11"/>
      <c r="AA58" s="11"/>
      <c r="AB58" s="11"/>
      <c r="AC58" s="11"/>
      <c r="AD58" s="11"/>
      <c r="AE58" s="68"/>
      <c r="AF58" s="31"/>
      <c r="AG58" s="32"/>
      <c r="AH58" s="32"/>
      <c r="AI58" s="31"/>
      <c r="AJ58" s="31"/>
      <c r="AK58" s="33"/>
      <c r="AL58" s="33"/>
      <c r="AM58" s="33"/>
      <c r="AN58" s="33"/>
      <c r="AO58" s="33"/>
      <c r="AP58" s="33"/>
      <c r="AQ58" s="33"/>
      <c r="AR58" s="33"/>
      <c r="AS58" s="33"/>
      <c r="AT58" s="33"/>
      <c r="AU58" s="33"/>
      <c r="AV58" s="33"/>
      <c r="AW58" s="33"/>
      <c r="AX58" s="33"/>
      <c r="AY58" s="33"/>
      <c r="AZ58" s="33"/>
      <c r="BA58" s="33"/>
      <c r="BB58" s="33"/>
      <c r="BC58" s="34"/>
      <c r="BD58" s="34"/>
      <c r="BE58" s="34"/>
      <c r="BF58" s="34"/>
      <c r="BG58" s="34"/>
      <c r="BH58" s="34"/>
      <c r="BI58" s="34"/>
      <c r="BJ58" s="34"/>
      <c r="BK58" s="34"/>
      <c r="BL58" s="34"/>
      <c r="BM58" s="34"/>
      <c r="BN58" s="34"/>
      <c r="BO58" s="34"/>
      <c r="BP58" s="34"/>
      <c r="BQ58" s="34"/>
      <c r="BR58" s="34"/>
      <c r="BS58" s="34"/>
      <c r="BT58" s="34"/>
      <c r="BU58" s="5"/>
      <c r="BV58" s="5"/>
      <c r="BW58" s="5"/>
      <c r="BX58" s="5"/>
      <c r="BY58" s="5"/>
      <c r="BZ58" s="5"/>
      <c r="CA58" s="5"/>
      <c r="CB58" s="5"/>
      <c r="CC58" s="5"/>
      <c r="CD58" s="5"/>
      <c r="CE58" s="5"/>
      <c r="CF58" s="5"/>
      <c r="CG58" s="5"/>
      <c r="CH58" s="5"/>
      <c r="CI58" s="5"/>
      <c r="CJ58" s="5"/>
      <c r="CK58" s="5"/>
      <c r="CL58" s="5"/>
    </row>
    <row r="59" spans="1:90" ht="10.35" hidden="1" customHeight="1" x14ac:dyDescent="0.15">
      <c r="A59" s="4"/>
      <c r="B59" s="35"/>
      <c r="C59" s="35"/>
      <c r="D59" s="11"/>
      <c r="E59" s="35"/>
      <c r="F59" s="35"/>
      <c r="G59" s="35"/>
      <c r="H59" s="11"/>
      <c r="I59" s="30"/>
      <c r="J59" s="30"/>
      <c r="K59" s="30"/>
      <c r="L59" s="30"/>
      <c r="M59" s="30"/>
      <c r="N59" s="30"/>
      <c r="O59" s="30"/>
      <c r="P59" s="11"/>
      <c r="Q59" s="6"/>
      <c r="R59" s="11"/>
      <c r="S59" s="16"/>
      <c r="T59" s="11"/>
      <c r="U59" s="4"/>
      <c r="V59" s="11"/>
      <c r="W59" s="11"/>
      <c r="X59" s="11"/>
      <c r="Y59" s="11"/>
      <c r="Z59" s="11"/>
      <c r="AA59" s="11"/>
      <c r="AB59" s="11"/>
      <c r="AC59" s="11"/>
      <c r="AD59" s="11"/>
      <c r="AE59" s="68"/>
      <c r="AF59" s="31"/>
      <c r="AG59" s="32"/>
      <c r="AH59" s="32"/>
      <c r="AI59" s="31"/>
      <c r="AJ59" s="31"/>
      <c r="AK59" s="33"/>
      <c r="AL59" s="33"/>
      <c r="AM59" s="33"/>
      <c r="AN59" s="33"/>
      <c r="AO59" s="33"/>
      <c r="AP59" s="33"/>
      <c r="AQ59" s="33"/>
      <c r="AR59" s="33"/>
      <c r="AS59" s="33"/>
      <c r="AT59" s="33"/>
      <c r="AU59" s="33"/>
      <c r="AV59" s="33"/>
      <c r="AW59" s="33"/>
      <c r="AX59" s="33"/>
      <c r="AY59" s="33"/>
      <c r="AZ59" s="33"/>
      <c r="BA59" s="33"/>
      <c r="BB59" s="33"/>
      <c r="BC59" s="34"/>
      <c r="BD59" s="34"/>
      <c r="BE59" s="34"/>
      <c r="BF59" s="34"/>
      <c r="BG59" s="34"/>
      <c r="BH59" s="34"/>
      <c r="BI59" s="34"/>
      <c r="BJ59" s="34"/>
      <c r="BK59" s="34"/>
      <c r="BL59" s="34"/>
      <c r="BM59" s="34"/>
      <c r="BN59" s="34"/>
      <c r="BO59" s="34"/>
      <c r="BP59" s="34"/>
      <c r="BQ59" s="34"/>
      <c r="BR59" s="34"/>
      <c r="BS59" s="34"/>
      <c r="BT59" s="34"/>
      <c r="BU59" s="5"/>
      <c r="BV59" s="5"/>
      <c r="BW59" s="5"/>
      <c r="BX59" s="5"/>
      <c r="BY59" s="5"/>
      <c r="BZ59" s="5"/>
      <c r="CA59" s="5"/>
      <c r="CB59" s="5"/>
      <c r="CC59" s="5"/>
      <c r="CD59" s="5"/>
      <c r="CE59" s="5"/>
      <c r="CF59" s="5"/>
      <c r="CG59" s="5"/>
      <c r="CH59" s="5"/>
      <c r="CI59" s="5"/>
      <c r="CJ59" s="5"/>
      <c r="CK59" s="5"/>
      <c r="CL59" s="5"/>
    </row>
    <row r="60" spans="1:90" ht="10.35" hidden="1" customHeight="1" x14ac:dyDescent="0.15">
      <c r="A60" s="4"/>
      <c r="B60" s="35"/>
      <c r="C60" s="35"/>
      <c r="D60" s="11"/>
      <c r="E60" s="35"/>
      <c r="F60" s="35"/>
      <c r="G60" s="35"/>
      <c r="H60" s="11"/>
      <c r="I60" s="30"/>
      <c r="J60" s="30"/>
      <c r="K60" s="30"/>
      <c r="L60" s="30"/>
      <c r="M60" s="30"/>
      <c r="N60" s="30"/>
      <c r="O60" s="30"/>
      <c r="P60" s="11"/>
      <c r="Q60" s="6"/>
      <c r="R60" s="11"/>
      <c r="S60" s="16"/>
      <c r="T60" s="11"/>
      <c r="U60" s="4"/>
      <c r="V60" s="11"/>
      <c r="W60" s="11"/>
      <c r="X60" s="11"/>
      <c r="Y60" s="11"/>
      <c r="Z60" s="11"/>
      <c r="AA60" s="11"/>
      <c r="AB60" s="11"/>
      <c r="AC60" s="11"/>
      <c r="AD60" s="11"/>
      <c r="AE60" s="68"/>
      <c r="AF60" s="31"/>
      <c r="AG60" s="32"/>
      <c r="AH60" s="32"/>
      <c r="AI60" s="31"/>
      <c r="AJ60" s="31"/>
      <c r="AK60" s="33"/>
      <c r="AL60" s="33"/>
      <c r="AM60" s="33"/>
      <c r="AN60" s="33"/>
      <c r="AO60" s="33"/>
      <c r="AP60" s="33"/>
      <c r="AQ60" s="33"/>
      <c r="AR60" s="33"/>
      <c r="AS60" s="33"/>
      <c r="AT60" s="33"/>
      <c r="AU60" s="33"/>
      <c r="AV60" s="33"/>
      <c r="AW60" s="33"/>
      <c r="AX60" s="33"/>
      <c r="AY60" s="33"/>
      <c r="AZ60" s="33"/>
      <c r="BA60" s="33"/>
      <c r="BB60" s="33"/>
      <c r="BC60" s="34"/>
      <c r="BD60" s="34"/>
      <c r="BE60" s="34"/>
      <c r="BF60" s="34"/>
      <c r="BG60" s="34"/>
      <c r="BH60" s="34"/>
      <c r="BI60" s="34"/>
      <c r="BJ60" s="34"/>
      <c r="BK60" s="34"/>
      <c r="BL60" s="34"/>
      <c r="BM60" s="34"/>
      <c r="BN60" s="34"/>
      <c r="BO60" s="34"/>
      <c r="BP60" s="34"/>
      <c r="BQ60" s="34"/>
      <c r="BR60" s="34"/>
      <c r="BS60" s="34"/>
      <c r="BT60" s="34"/>
      <c r="BU60" s="5"/>
      <c r="BV60" s="5"/>
      <c r="BW60" s="5"/>
      <c r="BX60" s="5"/>
      <c r="BY60" s="5"/>
      <c r="BZ60" s="5"/>
      <c r="CA60" s="5"/>
      <c r="CB60" s="5"/>
      <c r="CC60" s="5"/>
      <c r="CD60" s="5"/>
      <c r="CE60" s="5"/>
      <c r="CF60" s="5"/>
      <c r="CG60" s="5"/>
      <c r="CH60" s="5"/>
      <c r="CI60" s="5"/>
      <c r="CJ60" s="5"/>
      <c r="CK60" s="5"/>
      <c r="CL60" s="5"/>
    </row>
    <row r="61" spans="1:90" ht="10.35" hidden="1" customHeight="1" x14ac:dyDescent="0.15">
      <c r="A61" s="4"/>
      <c r="B61" s="35"/>
      <c r="C61" s="35"/>
      <c r="D61" s="11"/>
      <c r="E61" s="35"/>
      <c r="F61" s="35"/>
      <c r="G61" s="35"/>
      <c r="H61" s="11"/>
      <c r="I61" s="30"/>
      <c r="J61" s="30"/>
      <c r="K61" s="30"/>
      <c r="L61" s="30"/>
      <c r="M61" s="30"/>
      <c r="N61" s="30"/>
      <c r="O61" s="30"/>
      <c r="P61" s="11"/>
      <c r="Q61" s="6"/>
      <c r="R61" s="11"/>
      <c r="S61" s="16"/>
      <c r="T61" s="11"/>
      <c r="U61" s="4"/>
      <c r="V61" s="11"/>
      <c r="W61" s="11"/>
      <c r="X61" s="11"/>
      <c r="Y61" s="11"/>
      <c r="Z61" s="11"/>
      <c r="AA61" s="11"/>
      <c r="AB61" s="11"/>
      <c r="AC61" s="11"/>
      <c r="AD61" s="11"/>
      <c r="AE61" s="68"/>
      <c r="AF61" s="31"/>
      <c r="AG61" s="32"/>
      <c r="AH61" s="32"/>
      <c r="AI61" s="31"/>
      <c r="AJ61" s="31"/>
      <c r="AK61" s="33"/>
      <c r="AL61" s="33"/>
      <c r="AM61" s="33"/>
      <c r="AN61" s="33"/>
      <c r="AO61" s="33"/>
      <c r="AP61" s="33"/>
      <c r="AQ61" s="33"/>
      <c r="AR61" s="33"/>
      <c r="AS61" s="33"/>
      <c r="AT61" s="33"/>
      <c r="AU61" s="33"/>
      <c r="AV61" s="33"/>
      <c r="AW61" s="33"/>
      <c r="AX61" s="33"/>
      <c r="AY61" s="33"/>
      <c r="AZ61" s="33"/>
      <c r="BA61" s="33"/>
      <c r="BB61" s="33"/>
      <c r="BC61" s="34"/>
      <c r="BD61" s="34"/>
      <c r="BE61" s="34"/>
      <c r="BF61" s="34"/>
      <c r="BG61" s="34"/>
      <c r="BH61" s="34"/>
      <c r="BI61" s="34"/>
      <c r="BJ61" s="34"/>
      <c r="BK61" s="34"/>
      <c r="BL61" s="34"/>
      <c r="BM61" s="34"/>
      <c r="BN61" s="34"/>
      <c r="BO61" s="34"/>
      <c r="BP61" s="34"/>
      <c r="BQ61" s="34"/>
      <c r="BR61" s="34"/>
      <c r="BS61" s="34"/>
      <c r="BT61" s="34"/>
      <c r="BU61" s="5"/>
      <c r="BV61" s="5"/>
      <c r="BW61" s="5"/>
      <c r="BX61" s="5"/>
      <c r="BY61" s="5"/>
      <c r="BZ61" s="5"/>
      <c r="CA61" s="5"/>
      <c r="CB61" s="5"/>
      <c r="CC61" s="5"/>
      <c r="CD61" s="5"/>
      <c r="CE61" s="5"/>
      <c r="CF61" s="5"/>
      <c r="CG61" s="5"/>
      <c r="CH61" s="5"/>
      <c r="CI61" s="5"/>
      <c r="CJ61" s="5"/>
      <c r="CK61" s="5"/>
      <c r="CL61" s="5"/>
    </row>
    <row r="62" spans="1:90" ht="10.35" hidden="1" customHeight="1" x14ac:dyDescent="0.15">
      <c r="A62" s="4"/>
      <c r="B62" s="35"/>
      <c r="C62" s="35"/>
      <c r="D62" s="11"/>
      <c r="E62" s="35"/>
      <c r="F62" s="35"/>
      <c r="G62" s="35"/>
      <c r="H62" s="11"/>
      <c r="I62" s="30"/>
      <c r="J62" s="30"/>
      <c r="K62" s="30"/>
      <c r="L62" s="30"/>
      <c r="M62" s="30"/>
      <c r="N62" s="30"/>
      <c r="O62" s="30"/>
      <c r="P62" s="11"/>
      <c r="Q62" s="6"/>
      <c r="R62" s="11"/>
      <c r="S62" s="16"/>
      <c r="T62" s="11"/>
      <c r="U62" s="4"/>
      <c r="V62" s="11"/>
      <c r="W62" s="11"/>
      <c r="X62" s="11"/>
      <c r="Y62" s="11"/>
      <c r="Z62" s="11"/>
      <c r="AA62" s="11"/>
      <c r="AB62" s="11"/>
      <c r="AC62" s="11"/>
      <c r="AD62" s="11"/>
      <c r="AE62" s="68"/>
      <c r="AF62" s="31"/>
      <c r="AG62" s="32"/>
      <c r="AH62" s="32"/>
      <c r="AI62" s="31"/>
      <c r="AJ62" s="31"/>
      <c r="AK62" s="33"/>
      <c r="AL62" s="33"/>
      <c r="AM62" s="33"/>
      <c r="AN62" s="33"/>
      <c r="AO62" s="33"/>
      <c r="AP62" s="33"/>
      <c r="AQ62" s="33"/>
      <c r="AR62" s="33"/>
      <c r="AS62" s="33"/>
      <c r="AT62" s="33"/>
      <c r="AU62" s="33"/>
      <c r="AV62" s="33"/>
      <c r="AW62" s="33"/>
      <c r="AX62" s="33"/>
      <c r="AY62" s="33"/>
      <c r="AZ62" s="33"/>
      <c r="BA62" s="33"/>
      <c r="BB62" s="33"/>
      <c r="BC62" s="34"/>
      <c r="BD62" s="34"/>
      <c r="BE62" s="34"/>
      <c r="BF62" s="34"/>
      <c r="BG62" s="34"/>
      <c r="BH62" s="34"/>
      <c r="BI62" s="34"/>
      <c r="BJ62" s="34"/>
      <c r="BK62" s="34"/>
      <c r="BL62" s="34"/>
      <c r="BM62" s="34"/>
      <c r="BN62" s="34"/>
      <c r="BO62" s="34"/>
      <c r="BP62" s="34"/>
      <c r="BQ62" s="34"/>
      <c r="BR62" s="34"/>
      <c r="BS62" s="34"/>
      <c r="BT62" s="34"/>
      <c r="BU62" s="5"/>
      <c r="BV62" s="5"/>
      <c r="BW62" s="5"/>
      <c r="BX62" s="5"/>
      <c r="BY62" s="5"/>
      <c r="BZ62" s="5"/>
      <c r="CA62" s="5"/>
      <c r="CB62" s="5"/>
      <c r="CC62" s="5"/>
      <c r="CD62" s="5"/>
      <c r="CE62" s="5"/>
      <c r="CF62" s="5"/>
      <c r="CG62" s="5"/>
      <c r="CH62" s="5"/>
      <c r="CI62" s="5"/>
      <c r="CJ62" s="5"/>
      <c r="CK62" s="5"/>
      <c r="CL62" s="5"/>
    </row>
    <row r="63" spans="1:90" ht="10.35" hidden="1" customHeight="1" x14ac:dyDescent="0.15">
      <c r="A63" s="4"/>
      <c r="B63" s="35"/>
      <c r="C63" s="35"/>
      <c r="D63" s="11"/>
      <c r="E63" s="35"/>
      <c r="F63" s="35"/>
      <c r="G63" s="35"/>
      <c r="H63" s="11"/>
      <c r="I63" s="30"/>
      <c r="J63" s="30"/>
      <c r="K63" s="30"/>
      <c r="L63" s="30"/>
      <c r="M63" s="30"/>
      <c r="N63" s="30"/>
      <c r="O63" s="30"/>
      <c r="P63" s="11"/>
      <c r="Q63" s="6"/>
      <c r="R63" s="11"/>
      <c r="S63" s="16"/>
      <c r="T63" s="11"/>
      <c r="U63" s="4"/>
      <c r="V63" s="11"/>
      <c r="W63" s="11"/>
      <c r="X63" s="11"/>
      <c r="Y63" s="11"/>
      <c r="Z63" s="11"/>
      <c r="AA63" s="11"/>
      <c r="AB63" s="11"/>
      <c r="AC63" s="11"/>
      <c r="AD63" s="11"/>
      <c r="AE63" s="68"/>
      <c r="AF63" s="31"/>
      <c r="AG63" s="32"/>
      <c r="AH63" s="32"/>
      <c r="AI63" s="31"/>
      <c r="AJ63" s="31"/>
      <c r="AK63" s="33"/>
      <c r="AL63" s="33"/>
      <c r="AM63" s="33"/>
      <c r="AN63" s="33"/>
      <c r="AO63" s="33"/>
      <c r="AP63" s="33"/>
      <c r="AQ63" s="33"/>
      <c r="AR63" s="33"/>
      <c r="AS63" s="33"/>
      <c r="AT63" s="33"/>
      <c r="AU63" s="33"/>
      <c r="AV63" s="33"/>
      <c r="AW63" s="33"/>
      <c r="AX63" s="33"/>
      <c r="AY63" s="33"/>
      <c r="AZ63" s="33"/>
      <c r="BA63" s="33"/>
      <c r="BB63" s="33"/>
      <c r="BC63" s="34"/>
      <c r="BD63" s="34"/>
      <c r="BE63" s="34"/>
      <c r="BF63" s="34"/>
      <c r="BG63" s="34"/>
      <c r="BH63" s="34"/>
      <c r="BI63" s="34"/>
      <c r="BJ63" s="34"/>
      <c r="BK63" s="34"/>
      <c r="BL63" s="34"/>
      <c r="BM63" s="34"/>
      <c r="BN63" s="34"/>
      <c r="BO63" s="34"/>
      <c r="BP63" s="34"/>
      <c r="BQ63" s="34"/>
      <c r="BR63" s="34"/>
      <c r="BS63" s="34"/>
      <c r="BT63" s="34"/>
      <c r="BU63" s="5"/>
      <c r="BV63" s="5"/>
      <c r="BW63" s="5"/>
      <c r="BX63" s="5"/>
      <c r="BY63" s="5"/>
      <c r="BZ63" s="5"/>
      <c r="CA63" s="5"/>
      <c r="CB63" s="5"/>
      <c r="CC63" s="5"/>
      <c r="CD63" s="5"/>
      <c r="CE63" s="5"/>
      <c r="CF63" s="5"/>
      <c r="CG63" s="5"/>
      <c r="CH63" s="5"/>
      <c r="CI63" s="5"/>
      <c r="CJ63" s="5"/>
      <c r="CK63" s="5"/>
      <c r="CL63" s="5"/>
    </row>
    <row r="64" spans="1:90" ht="10.35" hidden="1" customHeight="1" x14ac:dyDescent="0.15">
      <c r="A64" s="4"/>
      <c r="B64" s="35"/>
      <c r="C64" s="35"/>
      <c r="D64" s="11"/>
      <c r="E64" s="35"/>
      <c r="F64" s="35"/>
      <c r="G64" s="35"/>
      <c r="H64" s="11"/>
      <c r="I64" s="30"/>
      <c r="J64" s="30"/>
      <c r="K64" s="30"/>
      <c r="L64" s="30"/>
      <c r="M64" s="30"/>
      <c r="N64" s="30"/>
      <c r="O64" s="30"/>
      <c r="P64" s="11"/>
      <c r="Q64" s="6"/>
      <c r="R64" s="11"/>
      <c r="S64" s="16"/>
      <c r="T64" s="11"/>
      <c r="U64" s="4"/>
      <c r="V64" s="11"/>
      <c r="W64" s="11"/>
      <c r="X64" s="11"/>
      <c r="Y64" s="11"/>
      <c r="Z64" s="11"/>
      <c r="AA64" s="11"/>
      <c r="AB64" s="11"/>
      <c r="AC64" s="11"/>
      <c r="AD64" s="11"/>
      <c r="AE64" s="68"/>
      <c r="AF64" s="31"/>
      <c r="AG64" s="32"/>
      <c r="AH64" s="32"/>
      <c r="AI64" s="31"/>
      <c r="AJ64" s="31"/>
      <c r="AK64" s="33"/>
      <c r="AL64" s="33"/>
      <c r="AM64" s="33"/>
      <c r="AN64" s="33"/>
      <c r="AO64" s="33"/>
      <c r="AP64" s="33"/>
      <c r="AQ64" s="33"/>
      <c r="AR64" s="33"/>
      <c r="AS64" s="33"/>
      <c r="AT64" s="33"/>
      <c r="AU64" s="33"/>
      <c r="AV64" s="33"/>
      <c r="AW64" s="33"/>
      <c r="AX64" s="33"/>
      <c r="AY64" s="33"/>
      <c r="AZ64" s="33"/>
      <c r="BA64" s="33"/>
      <c r="BB64" s="33"/>
      <c r="BC64" s="34"/>
      <c r="BD64" s="34"/>
      <c r="BE64" s="34"/>
      <c r="BF64" s="34"/>
      <c r="BG64" s="34"/>
      <c r="BH64" s="34"/>
      <c r="BI64" s="34"/>
      <c r="BJ64" s="34"/>
      <c r="BK64" s="34"/>
      <c r="BL64" s="34"/>
      <c r="BM64" s="34"/>
      <c r="BN64" s="34"/>
      <c r="BO64" s="34"/>
      <c r="BP64" s="34"/>
      <c r="BQ64" s="34"/>
      <c r="BR64" s="34"/>
      <c r="BS64" s="34"/>
      <c r="BT64" s="34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</row>
    <row r="65" spans="1:90" ht="10.35" hidden="1" customHeight="1" x14ac:dyDescent="0.15">
      <c r="A65" s="4"/>
      <c r="B65" s="35"/>
      <c r="C65" s="35"/>
      <c r="D65" s="11"/>
      <c r="E65" s="35"/>
      <c r="F65" s="35"/>
      <c r="G65" s="35"/>
      <c r="H65" s="11"/>
      <c r="I65" s="30"/>
      <c r="J65" s="30"/>
      <c r="K65" s="30"/>
      <c r="L65" s="30"/>
      <c r="M65" s="30"/>
      <c r="N65" s="30"/>
      <c r="O65" s="30"/>
      <c r="P65" s="11"/>
      <c r="Q65" s="6"/>
      <c r="R65" s="11"/>
      <c r="S65" s="16"/>
      <c r="T65" s="11"/>
      <c r="U65" s="4"/>
      <c r="V65" s="11"/>
      <c r="W65" s="11"/>
      <c r="X65" s="11"/>
      <c r="Y65" s="11"/>
      <c r="Z65" s="11"/>
      <c r="AA65" s="11"/>
      <c r="AB65" s="11"/>
      <c r="AC65" s="11"/>
      <c r="AD65" s="11"/>
      <c r="AE65" s="68"/>
      <c r="AF65" s="31"/>
      <c r="AG65" s="32"/>
      <c r="AH65" s="32"/>
      <c r="AI65" s="31"/>
      <c r="AJ65" s="31"/>
      <c r="AK65" s="33"/>
      <c r="AL65" s="33"/>
      <c r="AM65" s="33"/>
      <c r="AN65" s="33"/>
      <c r="AO65" s="33"/>
      <c r="AP65" s="33"/>
      <c r="AQ65" s="33"/>
      <c r="AR65" s="33"/>
      <c r="AS65" s="33"/>
      <c r="AT65" s="33"/>
      <c r="AU65" s="33"/>
      <c r="AV65" s="33"/>
      <c r="AW65" s="33"/>
      <c r="AX65" s="33"/>
      <c r="AY65" s="33"/>
      <c r="AZ65" s="33"/>
      <c r="BA65" s="33"/>
      <c r="BB65" s="33"/>
      <c r="BC65" s="34"/>
      <c r="BD65" s="34"/>
      <c r="BE65" s="34"/>
      <c r="BF65" s="34"/>
      <c r="BG65" s="34"/>
      <c r="BH65" s="34"/>
      <c r="BI65" s="34"/>
      <c r="BJ65" s="34"/>
      <c r="BK65" s="34"/>
      <c r="BL65" s="34"/>
      <c r="BM65" s="34"/>
      <c r="BN65" s="34"/>
      <c r="BO65" s="34"/>
      <c r="BP65" s="34"/>
      <c r="BQ65" s="34"/>
      <c r="BR65" s="34"/>
      <c r="BS65" s="34"/>
      <c r="BT65" s="34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</row>
    <row r="66" spans="1:90" ht="10.35" hidden="1" customHeight="1" x14ac:dyDescent="0.15">
      <c r="A66" s="4"/>
      <c r="B66" s="35"/>
      <c r="C66" s="35"/>
      <c r="D66" s="11"/>
      <c r="E66" s="35"/>
      <c r="F66" s="35"/>
      <c r="G66" s="35"/>
      <c r="H66" s="11"/>
      <c r="I66" s="30"/>
      <c r="J66" s="30"/>
      <c r="K66" s="30"/>
      <c r="L66" s="30"/>
      <c r="M66" s="30"/>
      <c r="N66" s="30"/>
      <c r="O66" s="30"/>
      <c r="P66" s="11"/>
      <c r="Q66" s="6"/>
      <c r="R66" s="11"/>
      <c r="S66" s="16"/>
      <c r="T66" s="11"/>
      <c r="U66" s="4"/>
      <c r="V66" s="11"/>
      <c r="W66" s="11"/>
      <c r="X66" s="11"/>
      <c r="Y66" s="11"/>
      <c r="Z66" s="11"/>
      <c r="AA66" s="11"/>
      <c r="AB66" s="11"/>
      <c r="AC66" s="11"/>
      <c r="AD66" s="11"/>
      <c r="AE66" s="68"/>
      <c r="AF66" s="31"/>
      <c r="AG66" s="32"/>
      <c r="AH66" s="32"/>
      <c r="AI66" s="31"/>
      <c r="AJ66" s="31"/>
      <c r="AK66" s="33"/>
      <c r="AL66" s="33"/>
      <c r="AM66" s="33"/>
      <c r="AN66" s="33"/>
      <c r="AO66" s="33"/>
      <c r="AP66" s="33"/>
      <c r="AQ66" s="33"/>
      <c r="AR66" s="33"/>
      <c r="AS66" s="33"/>
      <c r="AT66" s="33"/>
      <c r="AU66" s="33"/>
      <c r="AV66" s="33"/>
      <c r="AW66" s="33"/>
      <c r="AX66" s="33"/>
      <c r="AY66" s="33"/>
      <c r="AZ66" s="33"/>
      <c r="BA66" s="33"/>
      <c r="BB66" s="33"/>
      <c r="BC66" s="34"/>
      <c r="BD66" s="34"/>
      <c r="BE66" s="34"/>
      <c r="BF66" s="34"/>
      <c r="BG66" s="34"/>
      <c r="BH66" s="34"/>
      <c r="BI66" s="34"/>
      <c r="BJ66" s="34"/>
      <c r="BK66" s="34"/>
      <c r="BL66" s="34"/>
      <c r="BM66" s="34"/>
      <c r="BN66" s="34"/>
      <c r="BO66" s="34"/>
      <c r="BP66" s="34"/>
      <c r="BQ66" s="34"/>
      <c r="BR66" s="34"/>
      <c r="BS66" s="34"/>
      <c r="BT66" s="34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</row>
    <row r="67" spans="1:90" ht="10.35" hidden="1" customHeight="1" x14ac:dyDescent="0.15">
      <c r="A67" s="4"/>
      <c r="B67" s="35"/>
      <c r="C67" s="35"/>
      <c r="D67" s="11"/>
      <c r="E67" s="35"/>
      <c r="F67" s="35"/>
      <c r="G67" s="35"/>
      <c r="H67" s="11"/>
      <c r="I67" s="30"/>
      <c r="J67" s="30"/>
      <c r="K67" s="30"/>
      <c r="L67" s="30"/>
      <c r="M67" s="30"/>
      <c r="N67" s="30"/>
      <c r="O67" s="30"/>
      <c r="P67" s="11"/>
      <c r="Q67" s="6"/>
      <c r="R67" s="11"/>
      <c r="S67" s="16"/>
      <c r="T67" s="11"/>
      <c r="U67" s="4"/>
      <c r="V67" s="11"/>
      <c r="W67" s="11"/>
      <c r="X67" s="11"/>
      <c r="Y67" s="11"/>
      <c r="Z67" s="11"/>
      <c r="AA67" s="11"/>
      <c r="AB67" s="11"/>
      <c r="AC67" s="11"/>
      <c r="AD67" s="11"/>
      <c r="AE67" s="68"/>
      <c r="AF67" s="31"/>
      <c r="AG67" s="32"/>
      <c r="AH67" s="32"/>
      <c r="AI67" s="31"/>
      <c r="AJ67" s="31"/>
      <c r="AK67" s="33"/>
      <c r="AL67" s="33"/>
      <c r="AM67" s="33"/>
      <c r="AN67" s="33"/>
      <c r="AO67" s="33"/>
      <c r="AP67" s="33"/>
      <c r="AQ67" s="33"/>
      <c r="AR67" s="33"/>
      <c r="AS67" s="33"/>
      <c r="AT67" s="33"/>
      <c r="AU67" s="33"/>
      <c r="AV67" s="33"/>
      <c r="AW67" s="33"/>
      <c r="AX67" s="33"/>
      <c r="AY67" s="33"/>
      <c r="AZ67" s="33"/>
      <c r="BA67" s="33"/>
      <c r="BB67" s="33"/>
      <c r="BC67" s="34"/>
      <c r="BD67" s="34"/>
      <c r="BE67" s="34"/>
      <c r="BF67" s="34"/>
      <c r="BG67" s="34"/>
      <c r="BH67" s="34"/>
      <c r="BI67" s="34"/>
      <c r="BJ67" s="34"/>
      <c r="BK67" s="34"/>
      <c r="BL67" s="34"/>
      <c r="BM67" s="34"/>
      <c r="BN67" s="34"/>
      <c r="BO67" s="34"/>
      <c r="BP67" s="34"/>
      <c r="BQ67" s="34"/>
      <c r="BR67" s="34"/>
      <c r="BS67" s="34"/>
      <c r="BT67" s="34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</row>
    <row r="68" spans="1:90" ht="10.35" hidden="1" customHeight="1" x14ac:dyDescent="0.15">
      <c r="A68" s="4"/>
      <c r="B68" s="35"/>
      <c r="C68" s="35"/>
      <c r="D68" s="11"/>
      <c r="E68" s="35"/>
      <c r="F68" s="35"/>
      <c r="G68" s="35"/>
      <c r="H68" s="11"/>
      <c r="I68" s="30"/>
      <c r="J68" s="30"/>
      <c r="K68" s="30"/>
      <c r="L68" s="30"/>
      <c r="M68" s="30"/>
      <c r="N68" s="30"/>
      <c r="O68" s="30"/>
      <c r="P68" s="11"/>
      <c r="Q68" s="6"/>
      <c r="R68" s="11"/>
      <c r="S68" s="16"/>
      <c r="T68" s="11"/>
      <c r="U68" s="4"/>
      <c r="V68" s="11"/>
      <c r="W68" s="11"/>
      <c r="X68" s="11"/>
      <c r="Y68" s="11"/>
      <c r="Z68" s="11"/>
      <c r="AA68" s="11"/>
      <c r="AB68" s="11"/>
      <c r="AC68" s="11"/>
      <c r="AD68" s="11"/>
      <c r="AE68" s="68"/>
      <c r="AF68" s="31"/>
      <c r="AG68" s="32"/>
      <c r="AH68" s="32"/>
      <c r="AI68" s="31"/>
      <c r="AJ68" s="31"/>
      <c r="AK68" s="33"/>
      <c r="AL68" s="33"/>
      <c r="AM68" s="33"/>
      <c r="AN68" s="33"/>
      <c r="AO68" s="33"/>
      <c r="AP68" s="33"/>
      <c r="AQ68" s="33"/>
      <c r="AR68" s="33"/>
      <c r="AS68" s="33"/>
      <c r="AT68" s="33"/>
      <c r="AU68" s="33"/>
      <c r="AV68" s="33"/>
      <c r="AW68" s="33"/>
      <c r="AX68" s="33"/>
      <c r="AY68" s="33"/>
      <c r="AZ68" s="33"/>
      <c r="BA68" s="33"/>
      <c r="BB68" s="33"/>
      <c r="BC68" s="34"/>
      <c r="BD68" s="34"/>
      <c r="BE68" s="34"/>
      <c r="BF68" s="34"/>
      <c r="BG68" s="34"/>
      <c r="BH68" s="34"/>
      <c r="BI68" s="34"/>
      <c r="BJ68" s="34"/>
      <c r="BK68" s="34"/>
      <c r="BL68" s="34"/>
      <c r="BM68" s="34"/>
      <c r="BN68" s="34"/>
      <c r="BO68" s="34"/>
      <c r="BP68" s="34"/>
      <c r="BQ68" s="34"/>
      <c r="BR68" s="34"/>
      <c r="BS68" s="34"/>
      <c r="BT68" s="34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</row>
    <row r="69" spans="1:90" ht="10.35" hidden="1" customHeight="1" x14ac:dyDescent="0.15">
      <c r="A69" s="4"/>
      <c r="B69" s="35"/>
      <c r="C69" s="35"/>
      <c r="D69" s="11"/>
      <c r="E69" s="35"/>
      <c r="F69" s="35"/>
      <c r="G69" s="35"/>
      <c r="H69" s="11"/>
      <c r="I69" s="30"/>
      <c r="J69" s="30"/>
      <c r="K69" s="30"/>
      <c r="L69" s="30"/>
      <c r="M69" s="30"/>
      <c r="N69" s="30"/>
      <c r="O69" s="30"/>
      <c r="P69" s="11"/>
      <c r="Q69" s="6"/>
      <c r="R69" s="11"/>
      <c r="S69" s="16"/>
      <c r="T69" s="11"/>
      <c r="U69" s="4"/>
      <c r="V69" s="11"/>
      <c r="W69" s="11"/>
      <c r="X69" s="11"/>
      <c r="Y69" s="11"/>
      <c r="Z69" s="11"/>
      <c r="AA69" s="11"/>
      <c r="AB69" s="11"/>
      <c r="AC69" s="11"/>
      <c r="AD69" s="11"/>
      <c r="AE69" s="68"/>
      <c r="AF69" s="31"/>
      <c r="AG69" s="32"/>
      <c r="AH69" s="32"/>
      <c r="AI69" s="31"/>
      <c r="AJ69" s="31"/>
      <c r="AK69" s="33"/>
      <c r="AL69" s="33"/>
      <c r="AM69" s="33"/>
      <c r="AN69" s="33"/>
      <c r="AO69" s="33"/>
      <c r="AP69" s="33"/>
      <c r="AQ69" s="33"/>
      <c r="AR69" s="33"/>
      <c r="AS69" s="33"/>
      <c r="AT69" s="33"/>
      <c r="AU69" s="33"/>
      <c r="AV69" s="33"/>
      <c r="AW69" s="33"/>
      <c r="AX69" s="33"/>
      <c r="AY69" s="33"/>
      <c r="AZ69" s="33"/>
      <c r="BA69" s="33"/>
      <c r="BB69" s="33"/>
      <c r="BC69" s="34"/>
      <c r="BD69" s="34"/>
      <c r="BE69" s="34"/>
      <c r="BF69" s="34"/>
      <c r="BG69" s="34"/>
      <c r="BH69" s="34"/>
      <c r="BI69" s="34"/>
      <c r="BJ69" s="34"/>
      <c r="BK69" s="34"/>
      <c r="BL69" s="34"/>
      <c r="BM69" s="34"/>
      <c r="BN69" s="34"/>
      <c r="BO69" s="34"/>
      <c r="BP69" s="34"/>
      <c r="BQ69" s="34"/>
      <c r="BR69" s="34"/>
      <c r="BS69" s="34"/>
      <c r="BT69" s="34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</row>
    <row r="70" spans="1:90" ht="10.35" hidden="1" customHeight="1" x14ac:dyDescent="0.15">
      <c r="A70" s="4"/>
      <c r="B70" s="35"/>
      <c r="C70" s="35"/>
      <c r="D70" s="11"/>
      <c r="E70" s="35"/>
      <c r="F70" s="35"/>
      <c r="G70" s="35"/>
      <c r="H70" s="11"/>
      <c r="I70" s="30"/>
      <c r="J70" s="30"/>
      <c r="K70" s="30"/>
      <c r="L70" s="30"/>
      <c r="M70" s="30"/>
      <c r="N70" s="30"/>
      <c r="O70" s="30"/>
      <c r="P70" s="11"/>
      <c r="Q70" s="6"/>
      <c r="R70" s="11"/>
      <c r="S70" s="16"/>
      <c r="T70" s="11"/>
      <c r="U70" s="4"/>
      <c r="V70" s="11"/>
      <c r="W70" s="11"/>
      <c r="X70" s="11"/>
      <c r="Y70" s="11"/>
      <c r="Z70" s="11"/>
      <c r="AA70" s="11"/>
      <c r="AB70" s="11"/>
      <c r="AC70" s="11"/>
      <c r="AD70" s="11"/>
      <c r="AE70" s="68"/>
      <c r="AF70" s="31"/>
      <c r="AG70" s="32"/>
      <c r="AH70" s="32"/>
      <c r="AI70" s="31"/>
      <c r="AJ70" s="31"/>
      <c r="AK70" s="33"/>
      <c r="AL70" s="33"/>
      <c r="AM70" s="33"/>
      <c r="AN70" s="33"/>
      <c r="AO70" s="33"/>
      <c r="AP70" s="33"/>
      <c r="AQ70" s="33"/>
      <c r="AR70" s="33"/>
      <c r="AS70" s="33"/>
      <c r="AT70" s="33"/>
      <c r="AU70" s="33"/>
      <c r="AV70" s="33"/>
      <c r="AW70" s="33"/>
      <c r="AX70" s="33"/>
      <c r="AY70" s="33"/>
      <c r="AZ70" s="33"/>
      <c r="BA70" s="33"/>
      <c r="BB70" s="33"/>
      <c r="BC70" s="34"/>
      <c r="BD70" s="34"/>
      <c r="BE70" s="34"/>
      <c r="BF70" s="34"/>
      <c r="BG70" s="34"/>
      <c r="BH70" s="34"/>
      <c r="BI70" s="34"/>
      <c r="BJ70" s="34"/>
      <c r="BK70" s="34"/>
      <c r="BL70" s="34"/>
      <c r="BM70" s="34"/>
      <c r="BN70" s="34"/>
      <c r="BO70" s="34"/>
      <c r="BP70" s="34"/>
      <c r="BQ70" s="34"/>
      <c r="BR70" s="34"/>
      <c r="BS70" s="34"/>
      <c r="BT70" s="34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</row>
    <row r="71" spans="1:90" ht="10.35" hidden="1" customHeight="1" x14ac:dyDescent="0.15">
      <c r="A71" s="4"/>
      <c r="B71" s="35"/>
      <c r="C71" s="35"/>
      <c r="D71" s="11"/>
      <c r="E71" s="35"/>
      <c r="F71" s="35"/>
      <c r="G71" s="35"/>
      <c r="H71" s="11"/>
      <c r="I71" s="30"/>
      <c r="J71" s="30"/>
      <c r="K71" s="30"/>
      <c r="L71" s="30"/>
      <c r="M71" s="30"/>
      <c r="N71" s="30"/>
      <c r="O71" s="30"/>
      <c r="P71" s="11"/>
      <c r="Q71" s="6"/>
      <c r="R71" s="11"/>
      <c r="S71" s="16"/>
      <c r="T71" s="11"/>
      <c r="U71" s="4"/>
      <c r="V71" s="11"/>
      <c r="W71" s="11"/>
      <c r="X71" s="11"/>
      <c r="Y71" s="11"/>
      <c r="Z71" s="11"/>
      <c r="AA71" s="11"/>
      <c r="AB71" s="11"/>
      <c r="AC71" s="11"/>
      <c r="AD71" s="11"/>
      <c r="AE71" s="68"/>
      <c r="AF71" s="31"/>
      <c r="AG71" s="32"/>
      <c r="AH71" s="32"/>
      <c r="AI71" s="31"/>
      <c r="AJ71" s="31"/>
      <c r="AK71" s="33"/>
      <c r="AL71" s="33"/>
      <c r="AM71" s="33"/>
      <c r="AN71" s="33"/>
      <c r="AO71" s="33"/>
      <c r="AP71" s="33"/>
      <c r="AQ71" s="33"/>
      <c r="AR71" s="33"/>
      <c r="AS71" s="33"/>
      <c r="AT71" s="33"/>
      <c r="AU71" s="33"/>
      <c r="AV71" s="33"/>
      <c r="AW71" s="33"/>
      <c r="AX71" s="33"/>
      <c r="AY71" s="33"/>
      <c r="AZ71" s="33"/>
      <c r="BA71" s="33"/>
      <c r="BB71" s="33"/>
      <c r="BC71" s="34"/>
      <c r="BD71" s="34"/>
      <c r="BE71" s="34"/>
      <c r="BF71" s="34"/>
      <c r="BG71" s="34"/>
      <c r="BH71" s="34"/>
      <c r="BI71" s="34"/>
      <c r="BJ71" s="34"/>
      <c r="BK71" s="34"/>
      <c r="BL71" s="34"/>
      <c r="BM71" s="34"/>
      <c r="BN71" s="34"/>
      <c r="BO71" s="34"/>
      <c r="BP71" s="34"/>
      <c r="BQ71" s="34"/>
      <c r="BR71" s="34"/>
      <c r="BS71" s="34"/>
      <c r="BT71" s="34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</row>
    <row r="72" spans="1:90" ht="10.35" hidden="1" customHeight="1" x14ac:dyDescent="0.15">
      <c r="A72" s="4"/>
      <c r="B72" s="35"/>
      <c r="C72" s="35"/>
      <c r="D72" s="11"/>
      <c r="E72" s="35"/>
      <c r="F72" s="35"/>
      <c r="G72" s="35"/>
      <c r="H72" s="11"/>
      <c r="I72" s="30"/>
      <c r="J72" s="30"/>
      <c r="K72" s="30"/>
      <c r="L72" s="30"/>
      <c r="M72" s="30"/>
      <c r="N72" s="30"/>
      <c r="O72" s="30"/>
      <c r="P72" s="11"/>
      <c r="Q72" s="6"/>
      <c r="R72" s="11"/>
      <c r="S72" s="16"/>
      <c r="T72" s="11"/>
      <c r="U72" s="4"/>
      <c r="V72" s="11"/>
      <c r="W72" s="11"/>
      <c r="X72" s="11"/>
      <c r="Y72" s="11"/>
      <c r="Z72" s="11"/>
      <c r="AA72" s="11"/>
      <c r="AB72" s="11"/>
      <c r="AC72" s="11"/>
      <c r="AD72" s="11"/>
      <c r="AE72" s="68"/>
      <c r="AF72" s="31"/>
      <c r="AG72" s="32"/>
      <c r="AH72" s="32"/>
      <c r="AI72" s="31"/>
      <c r="AJ72" s="31"/>
      <c r="AK72" s="33"/>
      <c r="AL72" s="33"/>
      <c r="AM72" s="33"/>
      <c r="AN72" s="33"/>
      <c r="AO72" s="33"/>
      <c r="AP72" s="33"/>
      <c r="AQ72" s="33"/>
      <c r="AR72" s="33"/>
      <c r="AS72" s="33"/>
      <c r="AT72" s="33"/>
      <c r="AU72" s="33"/>
      <c r="AV72" s="33"/>
      <c r="AW72" s="33"/>
      <c r="AX72" s="33"/>
      <c r="AY72" s="33"/>
      <c r="AZ72" s="33"/>
      <c r="BA72" s="33"/>
      <c r="BB72" s="33"/>
      <c r="BC72" s="34"/>
      <c r="BD72" s="34"/>
      <c r="BE72" s="34"/>
      <c r="BF72" s="34"/>
      <c r="BG72" s="34"/>
      <c r="BH72" s="34"/>
      <c r="BI72" s="34"/>
      <c r="BJ72" s="34"/>
      <c r="BK72" s="34"/>
      <c r="BL72" s="34"/>
      <c r="BM72" s="34"/>
      <c r="BN72" s="34"/>
      <c r="BO72" s="34"/>
      <c r="BP72" s="34"/>
      <c r="BQ72" s="34"/>
      <c r="BR72" s="34"/>
      <c r="BS72" s="34"/>
      <c r="BT72" s="34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</row>
    <row r="73" spans="1:90" ht="10.35" hidden="1" customHeight="1" x14ac:dyDescent="0.15">
      <c r="A73" s="4"/>
      <c r="B73" s="35"/>
      <c r="C73" s="35"/>
      <c r="D73" s="11"/>
      <c r="E73" s="35"/>
      <c r="F73" s="35"/>
      <c r="G73" s="35"/>
      <c r="H73" s="11"/>
      <c r="I73" s="30"/>
      <c r="J73" s="30"/>
      <c r="K73" s="30"/>
      <c r="L73" s="30"/>
      <c r="M73" s="30"/>
      <c r="N73" s="30"/>
      <c r="O73" s="30"/>
      <c r="P73" s="11"/>
      <c r="Q73" s="6"/>
      <c r="R73" s="11"/>
      <c r="S73" s="16"/>
      <c r="T73" s="11"/>
      <c r="U73" s="4"/>
      <c r="V73" s="11"/>
      <c r="W73" s="11"/>
      <c r="X73" s="11"/>
      <c r="Y73" s="11"/>
      <c r="Z73" s="11"/>
      <c r="AA73" s="11"/>
      <c r="AB73" s="11"/>
      <c r="AC73" s="11"/>
      <c r="AD73" s="11"/>
      <c r="AE73" s="68"/>
      <c r="AF73" s="31"/>
      <c r="AG73" s="32"/>
      <c r="AH73" s="32"/>
      <c r="AI73" s="31"/>
      <c r="AJ73" s="31"/>
      <c r="AK73" s="33"/>
      <c r="AL73" s="33"/>
      <c r="AM73" s="33"/>
      <c r="AN73" s="33"/>
      <c r="AO73" s="33"/>
      <c r="AP73" s="33"/>
      <c r="AQ73" s="33"/>
      <c r="AR73" s="33"/>
      <c r="AS73" s="33"/>
      <c r="AT73" s="33"/>
      <c r="AU73" s="33"/>
      <c r="AV73" s="33"/>
      <c r="AW73" s="33"/>
      <c r="AX73" s="33"/>
      <c r="AY73" s="33"/>
      <c r="AZ73" s="33"/>
      <c r="BA73" s="33"/>
      <c r="BB73" s="33"/>
      <c r="BC73" s="34"/>
      <c r="BD73" s="34"/>
      <c r="BE73" s="34"/>
      <c r="BF73" s="34"/>
      <c r="BG73" s="34"/>
      <c r="BH73" s="34"/>
      <c r="BI73" s="34"/>
      <c r="BJ73" s="34"/>
      <c r="BK73" s="34"/>
      <c r="BL73" s="34"/>
      <c r="BM73" s="34"/>
      <c r="BN73" s="34"/>
      <c r="BO73" s="34"/>
      <c r="BP73" s="34"/>
      <c r="BQ73" s="34"/>
      <c r="BR73" s="34"/>
      <c r="BS73" s="34"/>
      <c r="BT73" s="34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</row>
    <row r="74" spans="1:90" ht="10.35" hidden="1" customHeight="1" x14ac:dyDescent="0.15">
      <c r="A74" s="4"/>
      <c r="B74" s="35"/>
      <c r="C74" s="35"/>
      <c r="D74" s="11"/>
      <c r="E74" s="35"/>
      <c r="F74" s="35"/>
      <c r="G74" s="35"/>
      <c r="H74" s="11"/>
      <c r="I74" s="30"/>
      <c r="J74" s="30"/>
      <c r="K74" s="30"/>
      <c r="L74" s="30"/>
      <c r="M74" s="30"/>
      <c r="N74" s="30"/>
      <c r="O74" s="30"/>
      <c r="P74" s="11"/>
      <c r="Q74" s="6"/>
      <c r="R74" s="11"/>
      <c r="S74" s="16"/>
      <c r="T74" s="11"/>
      <c r="U74" s="4"/>
      <c r="V74" s="11"/>
      <c r="W74" s="11"/>
      <c r="X74" s="11"/>
      <c r="Y74" s="11"/>
      <c r="Z74" s="11"/>
      <c r="AA74" s="11"/>
      <c r="AB74" s="11"/>
      <c r="AC74" s="11"/>
      <c r="AD74" s="11"/>
      <c r="AE74" s="68"/>
      <c r="AF74" s="31"/>
      <c r="AG74" s="32"/>
      <c r="AH74" s="32"/>
      <c r="AI74" s="31"/>
      <c r="AJ74" s="31"/>
      <c r="AK74" s="33"/>
      <c r="AL74" s="33"/>
      <c r="AM74" s="33"/>
      <c r="AN74" s="33"/>
      <c r="AO74" s="33"/>
      <c r="AP74" s="33"/>
      <c r="AQ74" s="33"/>
      <c r="AR74" s="33"/>
      <c r="AS74" s="33"/>
      <c r="AT74" s="33"/>
      <c r="AU74" s="33"/>
      <c r="AV74" s="33"/>
      <c r="AW74" s="33"/>
      <c r="AX74" s="33"/>
      <c r="AY74" s="33"/>
      <c r="AZ74" s="33"/>
      <c r="BA74" s="33"/>
      <c r="BB74" s="33"/>
      <c r="BC74" s="34"/>
      <c r="BD74" s="34"/>
      <c r="BE74" s="34"/>
      <c r="BF74" s="34"/>
      <c r="BG74" s="34"/>
      <c r="BH74" s="34"/>
      <c r="BI74" s="34"/>
      <c r="BJ74" s="34"/>
      <c r="BK74" s="34"/>
      <c r="BL74" s="34"/>
      <c r="BM74" s="34"/>
      <c r="BN74" s="34"/>
      <c r="BO74" s="34"/>
      <c r="BP74" s="34"/>
      <c r="BQ74" s="34"/>
      <c r="BR74" s="34"/>
      <c r="BS74" s="34"/>
      <c r="BT74" s="34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</row>
    <row r="75" spans="1:90" ht="10.35" hidden="1" customHeight="1" x14ac:dyDescent="0.15">
      <c r="A75" s="4"/>
      <c r="B75" s="35"/>
      <c r="C75" s="35"/>
      <c r="D75" s="11"/>
      <c r="E75" s="35"/>
      <c r="F75" s="35"/>
      <c r="G75" s="35"/>
      <c r="H75" s="11"/>
      <c r="I75" s="30"/>
      <c r="J75" s="30"/>
      <c r="K75" s="30"/>
      <c r="L75" s="30"/>
      <c r="M75" s="30"/>
      <c r="N75" s="30"/>
      <c r="O75" s="30"/>
      <c r="P75" s="11"/>
      <c r="Q75" s="6"/>
      <c r="R75" s="11"/>
      <c r="S75" s="16"/>
      <c r="T75" s="11"/>
      <c r="U75" s="4"/>
      <c r="V75" s="11"/>
      <c r="W75" s="11"/>
      <c r="X75" s="11"/>
      <c r="Y75" s="11"/>
      <c r="Z75" s="11"/>
      <c r="AA75" s="11"/>
      <c r="AB75" s="11"/>
      <c r="AC75" s="11"/>
      <c r="AD75" s="11"/>
      <c r="AE75" s="68"/>
      <c r="AF75" s="31"/>
      <c r="AG75" s="32"/>
      <c r="AH75" s="32"/>
      <c r="AI75" s="31"/>
      <c r="AJ75" s="31"/>
      <c r="AK75" s="33"/>
      <c r="AL75" s="33"/>
      <c r="AM75" s="33"/>
      <c r="AN75" s="33"/>
      <c r="AO75" s="33"/>
      <c r="AP75" s="33"/>
      <c r="AQ75" s="33"/>
      <c r="AR75" s="33"/>
      <c r="AS75" s="33"/>
      <c r="AT75" s="33"/>
      <c r="AU75" s="33"/>
      <c r="AV75" s="33"/>
      <c r="AW75" s="33"/>
      <c r="AX75" s="33"/>
      <c r="AY75" s="33"/>
      <c r="AZ75" s="33"/>
      <c r="BA75" s="33"/>
      <c r="BB75" s="33"/>
      <c r="BC75" s="34"/>
      <c r="BD75" s="34"/>
      <c r="BE75" s="34"/>
      <c r="BF75" s="34"/>
      <c r="BG75" s="34"/>
      <c r="BH75" s="34"/>
      <c r="BI75" s="34"/>
      <c r="BJ75" s="34"/>
      <c r="BK75" s="34"/>
      <c r="BL75" s="34"/>
      <c r="BM75" s="34"/>
      <c r="BN75" s="34"/>
      <c r="BO75" s="34"/>
      <c r="BP75" s="34"/>
      <c r="BQ75" s="34"/>
      <c r="BR75" s="34"/>
      <c r="BS75" s="34"/>
      <c r="BT75" s="34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</row>
    <row r="76" spans="1:90" ht="10.35" hidden="1" customHeight="1" x14ac:dyDescent="0.15">
      <c r="A76" s="4"/>
      <c r="B76" s="35"/>
      <c r="C76" s="35"/>
      <c r="D76" s="11"/>
      <c r="E76" s="35"/>
      <c r="F76" s="35"/>
      <c r="G76" s="35"/>
      <c r="H76" s="11"/>
      <c r="I76" s="30"/>
      <c r="J76" s="30"/>
      <c r="K76" s="30"/>
      <c r="L76" s="30"/>
      <c r="M76" s="30"/>
      <c r="N76" s="30"/>
      <c r="O76" s="30"/>
      <c r="P76" s="11"/>
      <c r="Q76" s="6"/>
      <c r="R76" s="11"/>
      <c r="S76" s="16"/>
      <c r="T76" s="11"/>
      <c r="U76" s="4"/>
      <c r="V76" s="11"/>
      <c r="W76" s="11"/>
      <c r="X76" s="11"/>
      <c r="Y76" s="11"/>
      <c r="Z76" s="11"/>
      <c r="AA76" s="11"/>
      <c r="AB76" s="11"/>
      <c r="AC76" s="11"/>
      <c r="AD76" s="11"/>
      <c r="AE76" s="68"/>
      <c r="AF76" s="31"/>
      <c r="AG76" s="32"/>
      <c r="AH76" s="32"/>
      <c r="AI76" s="31"/>
      <c r="AJ76" s="31"/>
      <c r="AK76" s="33"/>
      <c r="AL76" s="33"/>
      <c r="AM76" s="33"/>
      <c r="AN76" s="33"/>
      <c r="AO76" s="33"/>
      <c r="AP76" s="33"/>
      <c r="AQ76" s="33"/>
      <c r="AR76" s="33"/>
      <c r="AS76" s="33"/>
      <c r="AT76" s="33"/>
      <c r="AU76" s="33"/>
      <c r="AV76" s="33"/>
      <c r="AW76" s="33"/>
      <c r="AX76" s="33"/>
      <c r="AY76" s="33"/>
      <c r="AZ76" s="33"/>
      <c r="BA76" s="33"/>
      <c r="BB76" s="33"/>
      <c r="BC76" s="34"/>
      <c r="BD76" s="34"/>
      <c r="BE76" s="34"/>
      <c r="BF76" s="34"/>
      <c r="BG76" s="34"/>
      <c r="BH76" s="34"/>
      <c r="BI76" s="34"/>
      <c r="BJ76" s="34"/>
      <c r="BK76" s="34"/>
      <c r="BL76" s="34"/>
      <c r="BM76" s="34"/>
      <c r="BN76" s="34"/>
      <c r="BO76" s="34"/>
      <c r="BP76" s="34"/>
      <c r="BQ76" s="34"/>
      <c r="BR76" s="34"/>
      <c r="BS76" s="34"/>
      <c r="BT76" s="34"/>
      <c r="BU76" s="5"/>
      <c r="BV76" s="5"/>
      <c r="BW76" s="5"/>
      <c r="BX76" s="5"/>
      <c r="BY76" s="5"/>
      <c r="BZ76" s="5"/>
      <c r="CA76" s="5"/>
      <c r="CB76" s="5"/>
      <c r="CC76" s="5"/>
      <c r="CD76" s="5"/>
      <c r="CE76" s="5"/>
      <c r="CF76" s="5"/>
      <c r="CG76" s="5"/>
      <c r="CH76" s="5"/>
      <c r="CI76" s="5"/>
      <c r="CJ76" s="5"/>
      <c r="CK76" s="5"/>
      <c r="CL76" s="5"/>
    </row>
    <row r="77" spans="1:90" ht="10.35" hidden="1" customHeight="1" x14ac:dyDescent="0.15">
      <c r="A77" s="4"/>
      <c r="B77" s="35"/>
      <c r="C77" s="35"/>
      <c r="D77" s="11"/>
      <c r="E77" s="35"/>
      <c r="F77" s="35"/>
      <c r="G77" s="35"/>
      <c r="H77" s="11"/>
      <c r="I77" s="30"/>
      <c r="J77" s="30"/>
      <c r="K77" s="30"/>
      <c r="L77" s="30"/>
      <c r="M77" s="30"/>
      <c r="N77" s="30"/>
      <c r="O77" s="30"/>
      <c r="P77" s="11"/>
      <c r="Q77" s="6"/>
      <c r="R77" s="11"/>
      <c r="S77" s="16"/>
      <c r="T77" s="11"/>
      <c r="U77" s="4"/>
      <c r="V77" s="11"/>
      <c r="W77" s="11"/>
      <c r="X77" s="11"/>
      <c r="Y77" s="11"/>
      <c r="Z77" s="11"/>
      <c r="AA77" s="11"/>
      <c r="AB77" s="11"/>
      <c r="AC77" s="11"/>
      <c r="AD77" s="11"/>
      <c r="AE77" s="68"/>
      <c r="AF77" s="31"/>
      <c r="AG77" s="32"/>
      <c r="AH77" s="32"/>
      <c r="AI77" s="31"/>
      <c r="AJ77" s="31"/>
      <c r="AK77" s="33"/>
      <c r="AL77" s="33"/>
      <c r="AM77" s="33"/>
      <c r="AN77" s="33"/>
      <c r="AO77" s="33"/>
      <c r="AP77" s="33"/>
      <c r="AQ77" s="33"/>
      <c r="AR77" s="33"/>
      <c r="AS77" s="33"/>
      <c r="AT77" s="33"/>
      <c r="AU77" s="33"/>
      <c r="AV77" s="33"/>
      <c r="AW77" s="33"/>
      <c r="AX77" s="33"/>
      <c r="AY77" s="33"/>
      <c r="AZ77" s="33"/>
      <c r="BA77" s="33"/>
      <c r="BB77" s="33"/>
      <c r="BC77" s="34"/>
      <c r="BD77" s="34"/>
      <c r="BE77" s="34"/>
      <c r="BF77" s="34"/>
      <c r="BG77" s="34"/>
      <c r="BH77" s="34"/>
      <c r="BI77" s="34"/>
      <c r="BJ77" s="34"/>
      <c r="BK77" s="34"/>
      <c r="BL77" s="34"/>
      <c r="BM77" s="34"/>
      <c r="BN77" s="34"/>
      <c r="BO77" s="34"/>
      <c r="BP77" s="34"/>
      <c r="BQ77" s="34"/>
      <c r="BR77" s="34"/>
      <c r="BS77" s="34"/>
      <c r="BT77" s="34"/>
      <c r="BU77" s="5"/>
      <c r="BV77" s="5"/>
      <c r="BW77" s="5"/>
      <c r="BX77" s="5"/>
      <c r="BY77" s="5"/>
      <c r="BZ77" s="5"/>
      <c r="CA77" s="5"/>
      <c r="CB77" s="5"/>
      <c r="CC77" s="5"/>
      <c r="CD77" s="5"/>
      <c r="CE77" s="5"/>
      <c r="CF77" s="5"/>
      <c r="CG77" s="5"/>
      <c r="CH77" s="5"/>
      <c r="CI77" s="5"/>
      <c r="CJ77" s="5"/>
      <c r="CK77" s="5"/>
      <c r="CL77" s="5"/>
    </row>
    <row r="78" spans="1:90" ht="10.35" hidden="1" customHeight="1" x14ac:dyDescent="0.15">
      <c r="A78" s="4"/>
      <c r="B78" s="35"/>
      <c r="C78" s="35"/>
      <c r="D78" s="11"/>
      <c r="E78" s="35"/>
      <c r="F78" s="35"/>
      <c r="G78" s="35"/>
      <c r="H78" s="11"/>
      <c r="I78" s="30"/>
      <c r="J78" s="30"/>
      <c r="K78" s="30"/>
      <c r="L78" s="30"/>
      <c r="M78" s="30"/>
      <c r="N78" s="30"/>
      <c r="O78" s="30"/>
      <c r="P78" s="11"/>
      <c r="Q78" s="6"/>
      <c r="R78" s="11"/>
      <c r="S78" s="16"/>
      <c r="T78" s="11"/>
      <c r="U78" s="4"/>
      <c r="V78" s="11"/>
      <c r="W78" s="11"/>
      <c r="X78" s="11"/>
      <c r="Y78" s="11"/>
      <c r="Z78" s="11"/>
      <c r="AA78" s="11"/>
      <c r="AB78" s="11"/>
      <c r="AC78" s="11"/>
      <c r="AD78" s="11"/>
      <c r="AE78" s="68"/>
      <c r="AF78" s="31"/>
      <c r="AG78" s="32"/>
      <c r="AH78" s="32"/>
      <c r="AI78" s="31"/>
      <c r="AJ78" s="31"/>
      <c r="AK78" s="33"/>
      <c r="AL78" s="33"/>
      <c r="AM78" s="33"/>
      <c r="AN78" s="33"/>
      <c r="AO78" s="33"/>
      <c r="AP78" s="33"/>
      <c r="AQ78" s="33"/>
      <c r="AR78" s="33"/>
      <c r="AS78" s="33"/>
      <c r="AT78" s="33"/>
      <c r="AU78" s="33"/>
      <c r="AV78" s="33"/>
      <c r="AW78" s="33"/>
      <c r="AX78" s="33"/>
      <c r="AY78" s="33"/>
      <c r="AZ78" s="33"/>
      <c r="BA78" s="33"/>
      <c r="BB78" s="33"/>
      <c r="BC78" s="34"/>
      <c r="BD78" s="34"/>
      <c r="BE78" s="34"/>
      <c r="BF78" s="34"/>
      <c r="BG78" s="34"/>
      <c r="BH78" s="34"/>
      <c r="BI78" s="34"/>
      <c r="BJ78" s="34"/>
      <c r="BK78" s="34"/>
      <c r="BL78" s="34"/>
      <c r="BM78" s="34"/>
      <c r="BN78" s="34"/>
      <c r="BO78" s="34"/>
      <c r="BP78" s="34"/>
      <c r="BQ78" s="34"/>
      <c r="BR78" s="34"/>
      <c r="BS78" s="34"/>
      <c r="BT78" s="34"/>
      <c r="BU78" s="5"/>
      <c r="BV78" s="5"/>
      <c r="BW78" s="5"/>
      <c r="BX78" s="5"/>
      <c r="BY78" s="5"/>
      <c r="BZ78" s="5"/>
      <c r="CA78" s="5"/>
      <c r="CB78" s="5"/>
      <c r="CC78" s="5"/>
      <c r="CD78" s="5"/>
      <c r="CE78" s="5"/>
      <c r="CF78" s="5"/>
      <c r="CG78" s="5"/>
      <c r="CH78" s="5"/>
      <c r="CI78" s="5"/>
      <c r="CJ78" s="5"/>
      <c r="CK78" s="5"/>
      <c r="CL78" s="5"/>
    </row>
    <row r="79" spans="1:90" ht="10.35" hidden="1" customHeight="1" x14ac:dyDescent="0.15">
      <c r="A79" s="4"/>
      <c r="B79" s="35"/>
      <c r="C79" s="35"/>
      <c r="D79" s="11"/>
      <c r="E79" s="35"/>
      <c r="F79" s="35"/>
      <c r="G79" s="35"/>
      <c r="H79" s="11"/>
      <c r="I79" s="30"/>
      <c r="J79" s="30"/>
      <c r="K79" s="30"/>
      <c r="L79" s="30"/>
      <c r="M79" s="30"/>
      <c r="N79" s="30"/>
      <c r="O79" s="30"/>
      <c r="P79" s="11"/>
      <c r="Q79" s="6"/>
      <c r="R79" s="11"/>
      <c r="S79" s="16"/>
      <c r="T79" s="11"/>
      <c r="U79" s="4"/>
      <c r="V79" s="11"/>
      <c r="W79" s="11"/>
      <c r="X79" s="11"/>
      <c r="Y79" s="11"/>
      <c r="Z79" s="11"/>
      <c r="AA79" s="11"/>
      <c r="AB79" s="11"/>
      <c r="AC79" s="11"/>
      <c r="AD79" s="11"/>
      <c r="AE79" s="68"/>
      <c r="AF79" s="31"/>
      <c r="AG79" s="32"/>
      <c r="AH79" s="32"/>
      <c r="AI79" s="31"/>
      <c r="AJ79" s="31"/>
      <c r="AK79" s="33"/>
      <c r="AL79" s="33"/>
      <c r="AM79" s="33"/>
      <c r="AN79" s="33"/>
      <c r="AO79" s="33"/>
      <c r="AP79" s="33"/>
      <c r="AQ79" s="33"/>
      <c r="AR79" s="33"/>
      <c r="AS79" s="33"/>
      <c r="AT79" s="33"/>
      <c r="AU79" s="33"/>
      <c r="AV79" s="33"/>
      <c r="AW79" s="33"/>
      <c r="AX79" s="33"/>
      <c r="AY79" s="33"/>
      <c r="AZ79" s="33"/>
      <c r="BA79" s="33"/>
      <c r="BB79" s="33"/>
      <c r="BC79" s="34"/>
      <c r="BD79" s="34"/>
      <c r="BE79" s="34"/>
      <c r="BF79" s="34"/>
      <c r="BG79" s="34"/>
      <c r="BH79" s="34"/>
      <c r="BI79" s="34"/>
      <c r="BJ79" s="34"/>
      <c r="BK79" s="34"/>
      <c r="BL79" s="34"/>
      <c r="BM79" s="34"/>
      <c r="BN79" s="34"/>
      <c r="BO79" s="34"/>
      <c r="BP79" s="34"/>
      <c r="BQ79" s="34"/>
      <c r="BR79" s="34"/>
      <c r="BS79" s="34"/>
      <c r="BT79" s="34"/>
      <c r="BU79" s="5"/>
      <c r="BV79" s="5"/>
      <c r="BW79" s="5"/>
      <c r="BX79" s="5"/>
      <c r="BY79" s="5"/>
      <c r="BZ79" s="5"/>
      <c r="CA79" s="5"/>
      <c r="CB79" s="5"/>
      <c r="CC79" s="5"/>
      <c r="CD79" s="5"/>
      <c r="CE79" s="5"/>
      <c r="CF79" s="5"/>
      <c r="CG79" s="5"/>
      <c r="CH79" s="5"/>
      <c r="CI79" s="5"/>
      <c r="CJ79" s="5"/>
      <c r="CK79" s="5"/>
      <c r="CL79" s="5"/>
    </row>
    <row r="80" spans="1:90" ht="10.35" hidden="1" customHeight="1" x14ac:dyDescent="0.15">
      <c r="A80" s="4"/>
      <c r="B80" s="35"/>
      <c r="C80" s="35"/>
      <c r="D80" s="11"/>
      <c r="E80" s="35"/>
      <c r="F80" s="35"/>
      <c r="G80" s="35"/>
      <c r="H80" s="11"/>
      <c r="I80" s="30"/>
      <c r="J80" s="30"/>
      <c r="K80" s="30"/>
      <c r="L80" s="30"/>
      <c r="M80" s="30"/>
      <c r="N80" s="30"/>
      <c r="O80" s="30"/>
      <c r="P80" s="11"/>
      <c r="Q80" s="6"/>
      <c r="R80" s="11"/>
      <c r="S80" s="16"/>
      <c r="T80" s="11"/>
      <c r="U80" s="4"/>
      <c r="V80" s="11"/>
      <c r="W80" s="11"/>
      <c r="X80" s="11"/>
      <c r="Y80" s="11"/>
      <c r="Z80" s="11"/>
      <c r="AA80" s="11"/>
      <c r="AB80" s="11"/>
      <c r="AC80" s="11"/>
      <c r="AD80" s="11"/>
      <c r="AE80" s="68"/>
      <c r="AF80" s="31"/>
      <c r="AG80" s="32"/>
      <c r="AH80" s="32"/>
      <c r="AI80" s="31"/>
      <c r="AJ80" s="31"/>
      <c r="AK80" s="33"/>
      <c r="AL80" s="33"/>
      <c r="AM80" s="33"/>
      <c r="AN80" s="33"/>
      <c r="AO80" s="33"/>
      <c r="AP80" s="33"/>
      <c r="AQ80" s="33"/>
      <c r="AR80" s="33"/>
      <c r="AS80" s="33"/>
      <c r="AT80" s="33"/>
      <c r="AU80" s="33"/>
      <c r="AV80" s="33"/>
      <c r="AW80" s="33"/>
      <c r="AX80" s="33"/>
      <c r="AY80" s="33"/>
      <c r="AZ80" s="33"/>
      <c r="BA80" s="33"/>
      <c r="BB80" s="33"/>
      <c r="BC80" s="34"/>
      <c r="BD80" s="34"/>
      <c r="BE80" s="34"/>
      <c r="BF80" s="34"/>
      <c r="BG80" s="34"/>
      <c r="BH80" s="34"/>
      <c r="BI80" s="34"/>
      <c r="BJ80" s="34"/>
      <c r="BK80" s="34"/>
      <c r="BL80" s="34"/>
      <c r="BM80" s="34"/>
      <c r="BN80" s="34"/>
      <c r="BO80" s="34"/>
      <c r="BP80" s="34"/>
      <c r="BQ80" s="34"/>
      <c r="BR80" s="34"/>
      <c r="BS80" s="34"/>
      <c r="BT80" s="34"/>
      <c r="BU80" s="5"/>
      <c r="BV80" s="5"/>
      <c r="BW80" s="5"/>
      <c r="BX80" s="5"/>
      <c r="BY80" s="5"/>
      <c r="BZ80" s="5"/>
      <c r="CA80" s="5"/>
      <c r="CB80" s="5"/>
      <c r="CC80" s="5"/>
      <c r="CD80" s="5"/>
      <c r="CE80" s="5"/>
      <c r="CF80" s="5"/>
      <c r="CG80" s="5"/>
      <c r="CH80" s="5"/>
      <c r="CI80" s="5"/>
      <c r="CJ80" s="5"/>
      <c r="CK80" s="5"/>
      <c r="CL80" s="5"/>
    </row>
    <row r="81" spans="1:90" ht="10.35" hidden="1" customHeight="1" x14ac:dyDescent="0.15">
      <c r="A81" s="4"/>
      <c r="B81" s="35"/>
      <c r="C81" s="35"/>
      <c r="D81" s="11"/>
      <c r="E81" s="35"/>
      <c r="F81" s="35"/>
      <c r="G81" s="35"/>
      <c r="H81" s="11"/>
      <c r="I81" s="30"/>
      <c r="J81" s="30"/>
      <c r="K81" s="30"/>
      <c r="L81" s="30"/>
      <c r="M81" s="30"/>
      <c r="N81" s="30"/>
      <c r="O81" s="30"/>
      <c r="P81" s="11"/>
      <c r="Q81" s="6"/>
      <c r="R81" s="11"/>
      <c r="S81" s="16"/>
      <c r="T81" s="11"/>
      <c r="U81" s="4"/>
      <c r="V81" s="11"/>
      <c r="W81" s="11"/>
      <c r="X81" s="11"/>
      <c r="Y81" s="11"/>
      <c r="Z81" s="11"/>
      <c r="AA81" s="11"/>
      <c r="AB81" s="11"/>
      <c r="AC81" s="11"/>
      <c r="AD81" s="11"/>
      <c r="AE81" s="68"/>
      <c r="AF81" s="31"/>
      <c r="AG81" s="32"/>
      <c r="AH81" s="32"/>
      <c r="AI81" s="31"/>
      <c r="AJ81" s="31"/>
      <c r="AK81" s="33"/>
      <c r="AL81" s="33"/>
      <c r="AM81" s="33"/>
      <c r="AN81" s="33"/>
      <c r="AO81" s="33"/>
      <c r="AP81" s="33"/>
      <c r="AQ81" s="33"/>
      <c r="AR81" s="33"/>
      <c r="AS81" s="33"/>
      <c r="AT81" s="33"/>
      <c r="AU81" s="33"/>
      <c r="AV81" s="33"/>
      <c r="AW81" s="33"/>
      <c r="AX81" s="33"/>
      <c r="AY81" s="33"/>
      <c r="AZ81" s="33"/>
      <c r="BA81" s="33"/>
      <c r="BB81" s="33"/>
      <c r="BC81" s="34"/>
      <c r="BD81" s="34"/>
      <c r="BE81" s="34"/>
      <c r="BF81" s="34"/>
      <c r="BG81" s="34"/>
      <c r="BH81" s="34"/>
      <c r="BI81" s="34"/>
      <c r="BJ81" s="34"/>
      <c r="BK81" s="34"/>
      <c r="BL81" s="34"/>
      <c r="BM81" s="34"/>
      <c r="BN81" s="34"/>
      <c r="BO81" s="34"/>
      <c r="BP81" s="34"/>
      <c r="BQ81" s="34"/>
      <c r="BR81" s="34"/>
      <c r="BS81" s="34"/>
      <c r="BT81" s="34"/>
      <c r="BU81" s="5"/>
      <c r="BV81" s="5"/>
      <c r="BW81" s="5"/>
      <c r="BX81" s="5"/>
      <c r="BY81" s="5"/>
      <c r="BZ81" s="5"/>
      <c r="CA81" s="5"/>
      <c r="CB81" s="5"/>
      <c r="CC81" s="5"/>
      <c r="CD81" s="5"/>
      <c r="CE81" s="5"/>
      <c r="CF81" s="5"/>
      <c r="CG81" s="5"/>
      <c r="CH81" s="5"/>
      <c r="CI81" s="5"/>
      <c r="CJ81" s="5"/>
      <c r="CK81" s="5"/>
      <c r="CL81" s="5"/>
    </row>
    <row r="82" spans="1:90" ht="10.35" hidden="1" customHeight="1" x14ac:dyDescent="0.15">
      <c r="A82" s="4"/>
      <c r="B82" s="35"/>
      <c r="C82" s="35"/>
      <c r="D82" s="11"/>
      <c r="E82" s="35"/>
      <c r="F82" s="35"/>
      <c r="G82" s="35"/>
      <c r="H82" s="11"/>
      <c r="I82" s="30"/>
      <c r="J82" s="30"/>
      <c r="K82" s="30"/>
      <c r="L82" s="30"/>
      <c r="M82" s="30"/>
      <c r="N82" s="30"/>
      <c r="O82" s="30"/>
      <c r="P82" s="11"/>
      <c r="Q82" s="6"/>
      <c r="R82" s="11"/>
      <c r="S82" s="16"/>
      <c r="T82" s="11"/>
      <c r="U82" s="4"/>
      <c r="V82" s="11"/>
      <c r="W82" s="11"/>
      <c r="X82" s="11"/>
      <c r="Y82" s="11"/>
      <c r="Z82" s="11"/>
      <c r="AA82" s="11"/>
      <c r="AB82" s="11"/>
      <c r="AC82" s="11"/>
      <c r="AD82" s="11"/>
      <c r="AE82" s="68"/>
      <c r="AF82" s="31"/>
      <c r="AG82" s="32"/>
      <c r="AH82" s="32"/>
      <c r="AI82" s="31"/>
      <c r="AJ82" s="31"/>
      <c r="AK82" s="33"/>
      <c r="AL82" s="33"/>
      <c r="AM82" s="33"/>
      <c r="AN82" s="33"/>
      <c r="AO82" s="33"/>
      <c r="AP82" s="33"/>
      <c r="AQ82" s="33"/>
      <c r="AR82" s="33"/>
      <c r="AS82" s="33"/>
      <c r="AT82" s="33"/>
      <c r="AU82" s="33"/>
      <c r="AV82" s="33"/>
      <c r="AW82" s="33"/>
      <c r="AX82" s="33"/>
      <c r="AY82" s="33"/>
      <c r="AZ82" s="33"/>
      <c r="BA82" s="33"/>
      <c r="BB82" s="33"/>
      <c r="BC82" s="34"/>
      <c r="BD82" s="34"/>
      <c r="BE82" s="34"/>
      <c r="BF82" s="34"/>
      <c r="BG82" s="34"/>
      <c r="BH82" s="34"/>
      <c r="BI82" s="34"/>
      <c r="BJ82" s="34"/>
      <c r="BK82" s="34"/>
      <c r="BL82" s="34"/>
      <c r="BM82" s="34"/>
      <c r="BN82" s="34"/>
      <c r="BO82" s="34"/>
      <c r="BP82" s="34"/>
      <c r="BQ82" s="34"/>
      <c r="BR82" s="34"/>
      <c r="BS82" s="34"/>
      <c r="BT82" s="34"/>
      <c r="BU82" s="5"/>
      <c r="BV82" s="5"/>
      <c r="BW82" s="5"/>
      <c r="BX82" s="5"/>
      <c r="BY82" s="5"/>
      <c r="BZ82" s="5"/>
      <c r="CA82" s="5"/>
      <c r="CB82" s="5"/>
      <c r="CC82" s="5"/>
      <c r="CD82" s="5"/>
      <c r="CE82" s="5"/>
      <c r="CF82" s="5"/>
      <c r="CG82" s="5"/>
      <c r="CH82" s="5"/>
      <c r="CI82" s="5"/>
      <c r="CJ82" s="5"/>
      <c r="CK82" s="5"/>
      <c r="CL82" s="5"/>
    </row>
    <row r="83" spans="1:90" ht="10.35" hidden="1" customHeight="1" x14ac:dyDescent="0.15">
      <c r="A83" s="4"/>
      <c r="B83" s="35"/>
      <c r="C83" s="35"/>
      <c r="D83" s="11"/>
      <c r="E83" s="35"/>
      <c r="F83" s="35"/>
      <c r="G83" s="35"/>
      <c r="H83" s="11"/>
      <c r="I83" s="30"/>
      <c r="J83" s="30"/>
      <c r="K83" s="30"/>
      <c r="L83" s="30"/>
      <c r="M83" s="30"/>
      <c r="N83" s="30"/>
      <c r="O83" s="30"/>
      <c r="P83" s="11"/>
      <c r="Q83" s="6"/>
      <c r="R83" s="11"/>
      <c r="S83" s="16"/>
      <c r="T83" s="11"/>
      <c r="U83" s="4"/>
      <c r="V83" s="11"/>
      <c r="W83" s="11"/>
      <c r="X83" s="11"/>
      <c r="Y83" s="11"/>
      <c r="Z83" s="11"/>
      <c r="AA83" s="11"/>
      <c r="AB83" s="11"/>
      <c r="AC83" s="11"/>
      <c r="AD83" s="11"/>
      <c r="AE83" s="68"/>
      <c r="AF83" s="31"/>
      <c r="AG83" s="32"/>
      <c r="AH83" s="32"/>
      <c r="AI83" s="31"/>
      <c r="AJ83" s="31"/>
      <c r="AK83" s="33"/>
      <c r="AL83" s="33"/>
      <c r="AM83" s="33"/>
      <c r="AN83" s="33"/>
      <c r="AO83" s="33"/>
      <c r="AP83" s="33"/>
      <c r="AQ83" s="33"/>
      <c r="AR83" s="33"/>
      <c r="AS83" s="33"/>
      <c r="AT83" s="33"/>
      <c r="AU83" s="33"/>
      <c r="AV83" s="33"/>
      <c r="AW83" s="33"/>
      <c r="AX83" s="33"/>
      <c r="AY83" s="33"/>
      <c r="AZ83" s="33"/>
      <c r="BA83" s="33"/>
      <c r="BB83" s="33"/>
      <c r="BC83" s="34"/>
      <c r="BD83" s="34"/>
      <c r="BE83" s="34"/>
      <c r="BF83" s="34"/>
      <c r="BG83" s="34"/>
      <c r="BH83" s="34"/>
      <c r="BI83" s="34"/>
      <c r="BJ83" s="34"/>
      <c r="BK83" s="34"/>
      <c r="BL83" s="34"/>
      <c r="BM83" s="34"/>
      <c r="BN83" s="34"/>
      <c r="BO83" s="34"/>
      <c r="BP83" s="34"/>
      <c r="BQ83" s="34"/>
      <c r="BR83" s="34"/>
      <c r="BS83" s="34"/>
      <c r="BT83" s="34"/>
      <c r="BU83" s="5"/>
      <c r="BV83" s="5"/>
      <c r="BW83" s="5"/>
      <c r="BX83" s="5"/>
      <c r="BY83" s="5"/>
      <c r="BZ83" s="5"/>
      <c r="CA83" s="5"/>
      <c r="CB83" s="5"/>
      <c r="CC83" s="5"/>
      <c r="CD83" s="5"/>
      <c r="CE83" s="5"/>
      <c r="CF83" s="5"/>
      <c r="CG83" s="5"/>
      <c r="CH83" s="5"/>
      <c r="CI83" s="5"/>
      <c r="CJ83" s="5"/>
      <c r="CK83" s="5"/>
      <c r="CL83" s="5"/>
    </row>
    <row r="84" spans="1:90" ht="10.35" hidden="1" customHeight="1" x14ac:dyDescent="0.15">
      <c r="A84" s="4"/>
      <c r="B84" s="35"/>
      <c r="C84" s="35"/>
      <c r="D84" s="11"/>
      <c r="E84" s="35"/>
      <c r="F84" s="35"/>
      <c r="G84" s="35"/>
      <c r="H84" s="11"/>
      <c r="I84" s="30"/>
      <c r="J84" s="30"/>
      <c r="K84" s="30"/>
      <c r="L84" s="30"/>
      <c r="M84" s="30"/>
      <c r="N84" s="30"/>
      <c r="O84" s="30"/>
      <c r="P84" s="11"/>
      <c r="Q84" s="6"/>
      <c r="R84" s="11"/>
      <c r="S84" s="16"/>
      <c r="T84" s="11"/>
      <c r="U84" s="4"/>
      <c r="V84" s="11"/>
      <c r="W84" s="11"/>
      <c r="X84" s="11"/>
      <c r="Y84" s="11"/>
      <c r="Z84" s="11"/>
      <c r="AA84" s="11"/>
      <c r="AB84" s="11"/>
      <c r="AC84" s="11"/>
      <c r="AD84" s="11"/>
      <c r="AE84" s="68"/>
      <c r="AF84" s="31"/>
      <c r="AG84" s="32"/>
      <c r="AH84" s="32"/>
      <c r="AI84" s="31"/>
      <c r="AJ84" s="31"/>
      <c r="AK84" s="33"/>
      <c r="AL84" s="33"/>
      <c r="AM84" s="33"/>
      <c r="AN84" s="33"/>
      <c r="AO84" s="33"/>
      <c r="AP84" s="33"/>
      <c r="AQ84" s="33"/>
      <c r="AR84" s="33"/>
      <c r="AS84" s="33"/>
      <c r="AT84" s="33"/>
      <c r="AU84" s="33"/>
      <c r="AV84" s="33"/>
      <c r="AW84" s="33"/>
      <c r="AX84" s="33"/>
      <c r="AY84" s="33"/>
      <c r="AZ84" s="33"/>
      <c r="BA84" s="33"/>
      <c r="BB84" s="33"/>
      <c r="BC84" s="34"/>
      <c r="BD84" s="34"/>
      <c r="BE84" s="34"/>
      <c r="BF84" s="34"/>
      <c r="BG84" s="34"/>
      <c r="BH84" s="34"/>
      <c r="BI84" s="34"/>
      <c r="BJ84" s="34"/>
      <c r="BK84" s="34"/>
      <c r="BL84" s="34"/>
      <c r="BM84" s="34"/>
      <c r="BN84" s="34"/>
      <c r="BO84" s="34"/>
      <c r="BP84" s="34"/>
      <c r="BQ84" s="34"/>
      <c r="BR84" s="34"/>
      <c r="BS84" s="34"/>
      <c r="BT84" s="34"/>
      <c r="BU84" s="5"/>
      <c r="BV84" s="5"/>
      <c r="BW84" s="5"/>
      <c r="BX84" s="5"/>
      <c r="BY84" s="5"/>
      <c r="BZ84" s="5"/>
      <c r="CA84" s="5"/>
      <c r="CB84" s="5"/>
      <c r="CC84" s="5"/>
      <c r="CD84" s="5"/>
      <c r="CE84" s="5"/>
      <c r="CF84" s="5"/>
      <c r="CG84" s="5"/>
      <c r="CH84" s="5"/>
      <c r="CI84" s="5"/>
      <c r="CJ84" s="5"/>
      <c r="CK84" s="5"/>
      <c r="CL84" s="5"/>
    </row>
    <row r="85" spans="1:90" ht="10.35" hidden="1" customHeight="1" x14ac:dyDescent="0.15">
      <c r="A85" s="4"/>
      <c r="B85" s="35"/>
      <c r="C85" s="35"/>
      <c r="D85" s="11"/>
      <c r="E85" s="35"/>
      <c r="F85" s="35"/>
      <c r="G85" s="35"/>
      <c r="H85" s="11"/>
      <c r="I85" s="30"/>
      <c r="J85" s="30"/>
      <c r="K85" s="30"/>
      <c r="L85" s="30"/>
      <c r="M85" s="30"/>
      <c r="N85" s="30"/>
      <c r="O85" s="30"/>
      <c r="P85" s="11"/>
      <c r="Q85" s="6"/>
      <c r="R85" s="11"/>
      <c r="S85" s="16"/>
      <c r="T85" s="11"/>
      <c r="U85" s="4"/>
      <c r="V85" s="11"/>
      <c r="W85" s="11"/>
      <c r="X85" s="11"/>
      <c r="Y85" s="11"/>
      <c r="Z85" s="11"/>
      <c r="AA85" s="11"/>
      <c r="AB85" s="11"/>
      <c r="AC85" s="11"/>
      <c r="AD85" s="11"/>
      <c r="AE85" s="68"/>
      <c r="AF85" s="31"/>
      <c r="AG85" s="32"/>
      <c r="AH85" s="32"/>
      <c r="AI85" s="31"/>
      <c r="AJ85" s="31"/>
      <c r="AK85" s="33"/>
      <c r="AL85" s="33"/>
      <c r="AM85" s="33"/>
      <c r="AN85" s="33"/>
      <c r="AO85" s="33"/>
      <c r="AP85" s="33"/>
      <c r="AQ85" s="33"/>
      <c r="AR85" s="33"/>
      <c r="AS85" s="33"/>
      <c r="AT85" s="33"/>
      <c r="AU85" s="33"/>
      <c r="AV85" s="33"/>
      <c r="AW85" s="33"/>
      <c r="AX85" s="33"/>
      <c r="AY85" s="33"/>
      <c r="AZ85" s="33"/>
      <c r="BA85" s="33"/>
      <c r="BB85" s="33"/>
      <c r="BC85" s="34"/>
      <c r="BD85" s="34"/>
      <c r="BE85" s="34"/>
      <c r="BF85" s="34"/>
      <c r="BG85" s="34"/>
      <c r="BH85" s="34"/>
      <c r="BI85" s="34"/>
      <c r="BJ85" s="34"/>
      <c r="BK85" s="34"/>
      <c r="BL85" s="34"/>
      <c r="BM85" s="34"/>
      <c r="BN85" s="34"/>
      <c r="BO85" s="34"/>
      <c r="BP85" s="34"/>
      <c r="BQ85" s="34"/>
      <c r="BR85" s="34"/>
      <c r="BS85" s="34"/>
      <c r="BT85" s="34"/>
      <c r="BU85" s="5"/>
      <c r="BV85" s="5"/>
      <c r="BW85" s="5"/>
      <c r="BX85" s="5"/>
      <c r="BY85" s="5"/>
      <c r="BZ85" s="5"/>
      <c r="CA85" s="5"/>
      <c r="CB85" s="5"/>
      <c r="CC85" s="5"/>
      <c r="CD85" s="5"/>
      <c r="CE85" s="5"/>
      <c r="CF85" s="5"/>
      <c r="CG85" s="5"/>
      <c r="CH85" s="5"/>
      <c r="CI85" s="5"/>
      <c r="CJ85" s="5"/>
      <c r="CK85" s="5"/>
      <c r="CL85" s="5"/>
    </row>
    <row r="86" spans="1:90" ht="10.35" hidden="1" customHeight="1" x14ac:dyDescent="0.15">
      <c r="A86" s="4"/>
      <c r="B86" s="35"/>
      <c r="C86" s="35"/>
      <c r="D86" s="11"/>
      <c r="E86" s="35"/>
      <c r="F86" s="35"/>
      <c r="G86" s="35"/>
      <c r="H86" s="11"/>
      <c r="I86" s="30"/>
      <c r="J86" s="30"/>
      <c r="K86" s="30"/>
      <c r="L86" s="30"/>
      <c r="M86" s="30"/>
      <c r="N86" s="30"/>
      <c r="O86" s="30"/>
      <c r="P86" s="11"/>
      <c r="Q86" s="6"/>
      <c r="R86" s="11"/>
      <c r="S86" s="16"/>
      <c r="T86" s="11"/>
      <c r="U86" s="4"/>
      <c r="V86" s="11"/>
      <c r="W86" s="11"/>
      <c r="X86" s="11"/>
      <c r="Y86" s="11"/>
      <c r="Z86" s="11"/>
      <c r="AA86" s="11"/>
      <c r="AB86" s="11"/>
      <c r="AC86" s="11"/>
      <c r="AD86" s="11"/>
      <c r="AE86" s="68"/>
      <c r="AF86" s="31"/>
      <c r="AG86" s="32"/>
      <c r="AH86" s="32"/>
      <c r="AI86" s="31"/>
      <c r="AJ86" s="31"/>
      <c r="AK86" s="33"/>
      <c r="AL86" s="33"/>
      <c r="AM86" s="33"/>
      <c r="AN86" s="33"/>
      <c r="AO86" s="33"/>
      <c r="AP86" s="33"/>
      <c r="AQ86" s="33"/>
      <c r="AR86" s="33"/>
      <c r="AS86" s="33"/>
      <c r="AT86" s="33"/>
      <c r="AU86" s="33"/>
      <c r="AV86" s="33"/>
      <c r="AW86" s="33"/>
      <c r="AX86" s="33"/>
      <c r="AY86" s="33"/>
      <c r="AZ86" s="33"/>
      <c r="BA86" s="33"/>
      <c r="BB86" s="33"/>
      <c r="BC86" s="34"/>
      <c r="BD86" s="34"/>
      <c r="BE86" s="34"/>
      <c r="BF86" s="34"/>
      <c r="BG86" s="34"/>
      <c r="BH86" s="34"/>
      <c r="BI86" s="34"/>
      <c r="BJ86" s="34"/>
      <c r="BK86" s="34"/>
      <c r="BL86" s="34"/>
      <c r="BM86" s="34"/>
      <c r="BN86" s="34"/>
      <c r="BO86" s="34"/>
      <c r="BP86" s="34"/>
      <c r="BQ86" s="34"/>
      <c r="BR86" s="34"/>
      <c r="BS86" s="34"/>
      <c r="BT86" s="34"/>
      <c r="BU86" s="5"/>
      <c r="BV86" s="5"/>
      <c r="BW86" s="5"/>
      <c r="BX86" s="5"/>
      <c r="BY86" s="5"/>
      <c r="BZ86" s="5"/>
      <c r="CA86" s="5"/>
      <c r="CB86" s="5"/>
      <c r="CC86" s="5"/>
      <c r="CD86" s="5"/>
      <c r="CE86" s="5"/>
      <c r="CF86" s="5"/>
      <c r="CG86" s="5"/>
      <c r="CH86" s="5"/>
      <c r="CI86" s="5"/>
      <c r="CJ86" s="5"/>
      <c r="CK86" s="5"/>
      <c r="CL86" s="5"/>
    </row>
    <row r="87" spans="1:90" ht="10.35" hidden="1" customHeight="1" x14ac:dyDescent="0.15">
      <c r="A87" s="4"/>
      <c r="B87" s="35"/>
      <c r="C87" s="35"/>
      <c r="D87" s="11"/>
      <c r="E87" s="35"/>
      <c r="F87" s="35"/>
      <c r="G87" s="35"/>
      <c r="H87" s="11"/>
      <c r="I87" s="30"/>
      <c r="J87" s="30"/>
      <c r="K87" s="30"/>
      <c r="L87" s="30"/>
      <c r="M87" s="30"/>
      <c r="N87" s="30"/>
      <c r="O87" s="30"/>
      <c r="P87" s="11"/>
      <c r="Q87" s="6"/>
      <c r="R87" s="11"/>
      <c r="S87" s="16"/>
      <c r="T87" s="11"/>
      <c r="U87" s="4"/>
      <c r="V87" s="11"/>
      <c r="W87" s="11"/>
      <c r="X87" s="11"/>
      <c r="Y87" s="11"/>
      <c r="Z87" s="11"/>
      <c r="AA87" s="11"/>
      <c r="AB87" s="11"/>
      <c r="AC87" s="11"/>
      <c r="AD87" s="11"/>
      <c r="AE87" s="68"/>
      <c r="AF87" s="31"/>
      <c r="AG87" s="32"/>
      <c r="AH87" s="32"/>
      <c r="AI87" s="31"/>
      <c r="AJ87" s="31"/>
      <c r="AK87" s="33"/>
      <c r="AL87" s="33"/>
      <c r="AM87" s="33"/>
      <c r="AN87" s="33"/>
      <c r="AO87" s="33"/>
      <c r="AP87" s="33"/>
      <c r="AQ87" s="33"/>
      <c r="AR87" s="33"/>
      <c r="AS87" s="33"/>
      <c r="AT87" s="33"/>
      <c r="AU87" s="33"/>
      <c r="AV87" s="33"/>
      <c r="AW87" s="33"/>
      <c r="AX87" s="33"/>
      <c r="AY87" s="33"/>
      <c r="AZ87" s="33"/>
      <c r="BA87" s="33"/>
      <c r="BB87" s="33"/>
      <c r="BC87" s="34"/>
      <c r="BD87" s="34"/>
      <c r="BE87" s="34"/>
      <c r="BF87" s="34"/>
      <c r="BG87" s="34"/>
      <c r="BH87" s="34"/>
      <c r="BI87" s="34"/>
      <c r="BJ87" s="34"/>
      <c r="BK87" s="34"/>
      <c r="BL87" s="34"/>
      <c r="BM87" s="34"/>
      <c r="BN87" s="34"/>
      <c r="BO87" s="34"/>
      <c r="BP87" s="34"/>
      <c r="BQ87" s="34"/>
      <c r="BR87" s="34"/>
      <c r="BS87" s="34"/>
      <c r="BT87" s="34"/>
      <c r="BU87" s="5"/>
      <c r="BV87" s="5"/>
      <c r="BW87" s="5"/>
      <c r="BX87" s="5"/>
      <c r="BY87" s="5"/>
      <c r="BZ87" s="5"/>
      <c r="CA87" s="5"/>
      <c r="CB87" s="5"/>
      <c r="CC87" s="5"/>
      <c r="CD87" s="5"/>
      <c r="CE87" s="5"/>
      <c r="CF87" s="5"/>
      <c r="CG87" s="5"/>
      <c r="CH87" s="5"/>
      <c r="CI87" s="5"/>
      <c r="CJ87" s="5"/>
      <c r="CK87" s="5"/>
      <c r="CL87" s="5"/>
    </row>
    <row r="88" spans="1:90" ht="10.35" hidden="1" customHeight="1" x14ac:dyDescent="0.15">
      <c r="A88" s="4"/>
      <c r="B88" s="35"/>
      <c r="C88" s="35"/>
      <c r="D88" s="11"/>
      <c r="E88" s="35"/>
      <c r="F88" s="35"/>
      <c r="G88" s="35"/>
      <c r="H88" s="11"/>
      <c r="I88" s="30"/>
      <c r="J88" s="30"/>
      <c r="K88" s="30"/>
      <c r="L88" s="30"/>
      <c r="M88" s="30"/>
      <c r="N88" s="30"/>
      <c r="O88" s="30"/>
      <c r="P88" s="11"/>
      <c r="Q88" s="6"/>
      <c r="R88" s="11"/>
      <c r="S88" s="16"/>
      <c r="T88" s="11"/>
      <c r="U88" s="4"/>
      <c r="V88" s="11"/>
      <c r="W88" s="11"/>
      <c r="X88" s="11"/>
      <c r="Y88" s="11"/>
      <c r="Z88" s="11"/>
      <c r="AA88" s="11"/>
      <c r="AB88" s="11"/>
      <c r="AC88" s="11"/>
      <c r="AD88" s="11"/>
      <c r="AE88" s="68"/>
      <c r="AF88" s="31"/>
      <c r="AG88" s="32"/>
      <c r="AH88" s="32"/>
      <c r="AI88" s="31"/>
      <c r="AJ88" s="31"/>
      <c r="AK88" s="33"/>
      <c r="AL88" s="33"/>
      <c r="AM88" s="33"/>
      <c r="AN88" s="33"/>
      <c r="AO88" s="33"/>
      <c r="AP88" s="33"/>
      <c r="AQ88" s="33"/>
      <c r="AR88" s="33"/>
      <c r="AS88" s="33"/>
      <c r="AT88" s="33"/>
      <c r="AU88" s="33"/>
      <c r="AV88" s="33"/>
      <c r="AW88" s="33"/>
      <c r="AX88" s="33"/>
      <c r="AY88" s="33"/>
      <c r="AZ88" s="33"/>
      <c r="BA88" s="33"/>
      <c r="BB88" s="33"/>
      <c r="BC88" s="34"/>
      <c r="BD88" s="34"/>
      <c r="BE88" s="34"/>
      <c r="BF88" s="34"/>
      <c r="BG88" s="34"/>
      <c r="BH88" s="34"/>
      <c r="BI88" s="34"/>
      <c r="BJ88" s="34"/>
      <c r="BK88" s="34"/>
      <c r="BL88" s="34"/>
      <c r="BM88" s="34"/>
      <c r="BN88" s="34"/>
      <c r="BO88" s="34"/>
      <c r="BP88" s="34"/>
      <c r="BQ88" s="34"/>
      <c r="BR88" s="34"/>
      <c r="BS88" s="34"/>
      <c r="BT88" s="34"/>
      <c r="BU88" s="5"/>
      <c r="BV88" s="5"/>
      <c r="BW88" s="5"/>
      <c r="BX88" s="5"/>
      <c r="BY88" s="5"/>
      <c r="BZ88" s="5"/>
      <c r="CA88" s="5"/>
      <c r="CB88" s="5"/>
      <c r="CC88" s="5"/>
      <c r="CD88" s="5"/>
      <c r="CE88" s="5"/>
      <c r="CF88" s="5"/>
      <c r="CG88" s="5"/>
      <c r="CH88" s="5"/>
      <c r="CI88" s="5"/>
      <c r="CJ88" s="5"/>
      <c r="CK88" s="5"/>
      <c r="CL88" s="5"/>
    </row>
    <row r="89" spans="1:90" ht="10.35" hidden="1" customHeight="1" x14ac:dyDescent="0.15">
      <c r="A89" s="4"/>
      <c r="B89" s="35"/>
      <c r="C89" s="35"/>
      <c r="D89" s="11"/>
      <c r="E89" s="35"/>
      <c r="F89" s="35"/>
      <c r="G89" s="35"/>
      <c r="H89" s="11"/>
      <c r="I89" s="30"/>
      <c r="J89" s="30"/>
      <c r="K89" s="30"/>
      <c r="L89" s="30"/>
      <c r="M89" s="30"/>
      <c r="N89" s="30"/>
      <c r="O89" s="30"/>
      <c r="P89" s="11"/>
      <c r="Q89" s="6"/>
      <c r="R89" s="11"/>
      <c r="S89" s="16"/>
      <c r="T89" s="11"/>
      <c r="U89" s="4"/>
      <c r="V89" s="11"/>
      <c r="W89" s="11"/>
      <c r="X89" s="11"/>
      <c r="Y89" s="11"/>
      <c r="Z89" s="11"/>
      <c r="AA89" s="11"/>
      <c r="AB89" s="11"/>
      <c r="AC89" s="11"/>
      <c r="AD89" s="11"/>
      <c r="AE89" s="68"/>
      <c r="AF89" s="31"/>
      <c r="AG89" s="32"/>
      <c r="AH89" s="32"/>
      <c r="AI89" s="31"/>
      <c r="AJ89" s="31"/>
      <c r="AK89" s="33"/>
      <c r="AL89" s="33"/>
      <c r="AM89" s="33"/>
      <c r="AN89" s="33"/>
      <c r="AO89" s="33"/>
      <c r="AP89" s="33"/>
      <c r="AQ89" s="33"/>
      <c r="AR89" s="33"/>
      <c r="AS89" s="33"/>
      <c r="AT89" s="33"/>
      <c r="AU89" s="33"/>
      <c r="AV89" s="33"/>
      <c r="AW89" s="33"/>
      <c r="AX89" s="33"/>
      <c r="AY89" s="33"/>
      <c r="AZ89" s="33"/>
      <c r="BA89" s="33"/>
      <c r="BB89" s="33"/>
      <c r="BC89" s="34"/>
      <c r="BD89" s="34"/>
      <c r="BE89" s="34"/>
      <c r="BF89" s="34"/>
      <c r="BG89" s="34"/>
      <c r="BH89" s="34"/>
      <c r="BI89" s="34"/>
      <c r="BJ89" s="34"/>
      <c r="BK89" s="34"/>
      <c r="BL89" s="34"/>
      <c r="BM89" s="34"/>
      <c r="BN89" s="34"/>
      <c r="BO89" s="34"/>
      <c r="BP89" s="34"/>
      <c r="BQ89" s="34"/>
      <c r="BR89" s="34"/>
      <c r="BS89" s="34"/>
      <c r="BT89" s="34"/>
      <c r="BU89" s="5"/>
      <c r="BV89" s="5"/>
      <c r="BW89" s="5"/>
      <c r="BX89" s="5"/>
      <c r="BY89" s="5"/>
      <c r="BZ89" s="5"/>
      <c r="CA89" s="5"/>
      <c r="CB89" s="5"/>
      <c r="CC89" s="5"/>
      <c r="CD89" s="5"/>
      <c r="CE89" s="5"/>
      <c r="CF89" s="5"/>
      <c r="CG89" s="5"/>
      <c r="CH89" s="5"/>
      <c r="CI89" s="5"/>
      <c r="CJ89" s="5"/>
      <c r="CK89" s="5"/>
      <c r="CL89" s="5"/>
    </row>
    <row r="90" spans="1:90" ht="10.35" hidden="1" customHeight="1" x14ac:dyDescent="0.15">
      <c r="A90" s="4"/>
      <c r="B90" s="35"/>
      <c r="C90" s="35"/>
      <c r="D90" s="11"/>
      <c r="E90" s="35"/>
      <c r="F90" s="35"/>
      <c r="G90" s="35"/>
      <c r="H90" s="11"/>
      <c r="I90" s="30"/>
      <c r="J90" s="30"/>
      <c r="K90" s="30"/>
      <c r="L90" s="30"/>
      <c r="M90" s="30"/>
      <c r="N90" s="30"/>
      <c r="O90" s="30"/>
      <c r="P90" s="11"/>
      <c r="Q90" s="6"/>
      <c r="R90" s="11"/>
      <c r="S90" s="16"/>
      <c r="T90" s="11"/>
      <c r="U90" s="4"/>
      <c r="V90" s="11"/>
      <c r="W90" s="11"/>
      <c r="X90" s="11"/>
      <c r="Y90" s="11"/>
      <c r="Z90" s="11"/>
      <c r="AA90" s="11"/>
      <c r="AB90" s="11"/>
      <c r="AC90" s="11"/>
      <c r="AD90" s="11"/>
      <c r="AE90" s="68"/>
      <c r="AF90" s="31"/>
      <c r="AG90" s="32"/>
      <c r="AH90" s="32"/>
      <c r="AI90" s="31"/>
      <c r="AJ90" s="31"/>
      <c r="AK90" s="33"/>
      <c r="AL90" s="33"/>
      <c r="AM90" s="33"/>
      <c r="AN90" s="33"/>
      <c r="AO90" s="33"/>
      <c r="AP90" s="33"/>
      <c r="AQ90" s="33"/>
      <c r="AR90" s="33"/>
      <c r="AS90" s="33"/>
      <c r="AT90" s="33"/>
      <c r="AU90" s="33"/>
      <c r="AV90" s="33"/>
      <c r="AW90" s="33"/>
      <c r="AX90" s="33"/>
      <c r="AY90" s="33"/>
      <c r="AZ90" s="33"/>
      <c r="BA90" s="33"/>
      <c r="BB90" s="33"/>
      <c r="BC90" s="34"/>
      <c r="BD90" s="34"/>
      <c r="BE90" s="34"/>
      <c r="BF90" s="34"/>
      <c r="BG90" s="34"/>
      <c r="BH90" s="34"/>
      <c r="BI90" s="34"/>
      <c r="BJ90" s="34"/>
      <c r="BK90" s="34"/>
      <c r="BL90" s="34"/>
      <c r="BM90" s="34"/>
      <c r="BN90" s="34"/>
      <c r="BO90" s="34"/>
      <c r="BP90" s="34"/>
      <c r="BQ90" s="34"/>
      <c r="BR90" s="34"/>
      <c r="BS90" s="34"/>
      <c r="BT90" s="34"/>
      <c r="BU90" s="5"/>
      <c r="BV90" s="5"/>
      <c r="BW90" s="5"/>
      <c r="BX90" s="5"/>
      <c r="BY90" s="5"/>
      <c r="BZ90" s="5"/>
      <c r="CA90" s="5"/>
      <c r="CB90" s="5"/>
      <c r="CC90" s="5"/>
      <c r="CD90" s="5"/>
      <c r="CE90" s="5"/>
      <c r="CF90" s="5"/>
      <c r="CG90" s="5"/>
      <c r="CH90" s="5"/>
      <c r="CI90" s="5"/>
      <c r="CJ90" s="5"/>
      <c r="CK90" s="5"/>
      <c r="CL90" s="5"/>
    </row>
    <row r="91" spans="1:90" ht="10.35" hidden="1" customHeight="1" x14ac:dyDescent="0.15">
      <c r="A91" s="4"/>
      <c r="B91" s="35"/>
      <c r="C91" s="35"/>
      <c r="D91" s="11"/>
      <c r="E91" s="35"/>
      <c r="F91" s="35"/>
      <c r="G91" s="35"/>
      <c r="H91" s="11"/>
      <c r="I91" s="30"/>
      <c r="J91" s="30"/>
      <c r="K91" s="30"/>
      <c r="L91" s="30"/>
      <c r="M91" s="30"/>
      <c r="N91" s="30"/>
      <c r="O91" s="30"/>
      <c r="P91" s="11"/>
      <c r="Q91" s="6"/>
      <c r="R91" s="11"/>
      <c r="S91" s="16"/>
      <c r="T91" s="11"/>
      <c r="U91" s="4"/>
      <c r="V91" s="11"/>
      <c r="W91" s="11"/>
      <c r="X91" s="11"/>
      <c r="Y91" s="11"/>
      <c r="Z91" s="11"/>
      <c r="AA91" s="11"/>
      <c r="AB91" s="11"/>
      <c r="AC91" s="11"/>
      <c r="AD91" s="11"/>
      <c r="AE91" s="68"/>
      <c r="AF91" s="31"/>
      <c r="AG91" s="32"/>
      <c r="AH91" s="32"/>
      <c r="AI91" s="31"/>
      <c r="AJ91" s="31"/>
      <c r="AK91" s="33"/>
      <c r="AL91" s="33"/>
      <c r="AM91" s="33"/>
      <c r="AN91" s="33"/>
      <c r="AO91" s="33"/>
      <c r="AP91" s="33"/>
      <c r="AQ91" s="33"/>
      <c r="AR91" s="33"/>
      <c r="AS91" s="33"/>
      <c r="AT91" s="33"/>
      <c r="AU91" s="33"/>
      <c r="AV91" s="33"/>
      <c r="AW91" s="33"/>
      <c r="AX91" s="33"/>
      <c r="AY91" s="33"/>
      <c r="AZ91" s="33"/>
      <c r="BA91" s="33"/>
      <c r="BB91" s="33"/>
      <c r="BC91" s="34"/>
      <c r="BD91" s="34"/>
      <c r="BE91" s="34"/>
      <c r="BF91" s="34"/>
      <c r="BG91" s="34"/>
      <c r="BH91" s="34"/>
      <c r="BI91" s="34"/>
      <c r="BJ91" s="34"/>
      <c r="BK91" s="34"/>
      <c r="BL91" s="34"/>
      <c r="BM91" s="34"/>
      <c r="BN91" s="34"/>
      <c r="BO91" s="34"/>
      <c r="BP91" s="34"/>
      <c r="BQ91" s="34"/>
      <c r="BR91" s="34"/>
      <c r="BS91" s="34"/>
      <c r="BT91" s="34"/>
      <c r="BU91" s="5"/>
      <c r="BV91" s="5"/>
      <c r="BW91" s="5"/>
      <c r="BX91" s="5"/>
      <c r="BY91" s="5"/>
      <c r="BZ91" s="5"/>
      <c r="CA91" s="5"/>
      <c r="CB91" s="5"/>
      <c r="CC91" s="5"/>
      <c r="CD91" s="5"/>
      <c r="CE91" s="5"/>
      <c r="CF91" s="5"/>
      <c r="CG91" s="5"/>
      <c r="CH91" s="5"/>
      <c r="CI91" s="5"/>
      <c r="CJ91" s="5"/>
      <c r="CK91" s="5"/>
      <c r="CL91" s="5"/>
    </row>
    <row r="92" spans="1:90" ht="10.35" hidden="1" customHeight="1" x14ac:dyDescent="0.15">
      <c r="A92" s="4"/>
      <c r="B92" s="35"/>
      <c r="C92" s="35"/>
      <c r="D92" s="11"/>
      <c r="E92" s="35"/>
      <c r="F92" s="35"/>
      <c r="G92" s="35"/>
      <c r="H92" s="11"/>
      <c r="I92" s="30"/>
      <c r="J92" s="30"/>
      <c r="K92" s="30"/>
      <c r="L92" s="30"/>
      <c r="M92" s="30"/>
      <c r="N92" s="30"/>
      <c r="O92" s="30"/>
      <c r="P92" s="11"/>
      <c r="Q92" s="6"/>
      <c r="R92" s="11"/>
      <c r="S92" s="16"/>
      <c r="T92" s="11"/>
      <c r="U92" s="4"/>
      <c r="V92" s="11"/>
      <c r="W92" s="11"/>
      <c r="X92" s="11"/>
      <c r="Y92" s="11"/>
      <c r="Z92" s="11"/>
      <c r="AA92" s="11"/>
      <c r="AB92" s="11"/>
      <c r="AC92" s="11"/>
      <c r="AD92" s="11"/>
      <c r="AE92" s="68"/>
      <c r="AF92" s="31"/>
      <c r="AG92" s="32"/>
      <c r="AH92" s="32"/>
      <c r="AI92" s="31"/>
      <c r="AJ92" s="31"/>
      <c r="AK92" s="33"/>
      <c r="AL92" s="33"/>
      <c r="AM92" s="33"/>
      <c r="AN92" s="33"/>
      <c r="AO92" s="33"/>
      <c r="AP92" s="33"/>
      <c r="AQ92" s="33"/>
      <c r="AR92" s="33"/>
      <c r="AS92" s="33"/>
      <c r="AT92" s="33"/>
      <c r="AU92" s="33"/>
      <c r="AV92" s="33"/>
      <c r="AW92" s="33"/>
      <c r="AX92" s="33"/>
      <c r="AY92" s="33"/>
      <c r="AZ92" s="33"/>
      <c r="BA92" s="33"/>
      <c r="BB92" s="33"/>
      <c r="BC92" s="34"/>
      <c r="BD92" s="34"/>
      <c r="BE92" s="34"/>
      <c r="BF92" s="34"/>
      <c r="BG92" s="34"/>
      <c r="BH92" s="34"/>
      <c r="BI92" s="34"/>
      <c r="BJ92" s="34"/>
      <c r="BK92" s="34"/>
      <c r="BL92" s="34"/>
      <c r="BM92" s="34"/>
      <c r="BN92" s="34"/>
      <c r="BO92" s="34"/>
      <c r="BP92" s="34"/>
      <c r="BQ92" s="34"/>
      <c r="BR92" s="34"/>
      <c r="BS92" s="34"/>
      <c r="BT92" s="34"/>
      <c r="BU92" s="5"/>
      <c r="BV92" s="5"/>
      <c r="BW92" s="5"/>
      <c r="BX92" s="5"/>
      <c r="BY92" s="5"/>
      <c r="BZ92" s="5"/>
      <c r="CA92" s="5"/>
      <c r="CB92" s="5"/>
      <c r="CC92" s="5"/>
      <c r="CD92" s="5"/>
      <c r="CE92" s="5"/>
      <c r="CF92" s="5"/>
      <c r="CG92" s="5"/>
      <c r="CH92" s="5"/>
      <c r="CI92" s="5"/>
      <c r="CJ92" s="5"/>
      <c r="CK92" s="5"/>
      <c r="CL92" s="5"/>
    </row>
    <row r="93" spans="1:90" ht="10.35" hidden="1" customHeight="1" x14ac:dyDescent="0.15">
      <c r="A93" s="4"/>
      <c r="B93" s="35"/>
      <c r="C93" s="35"/>
      <c r="D93" s="11"/>
      <c r="E93" s="35"/>
      <c r="F93" s="35"/>
      <c r="G93" s="35"/>
      <c r="H93" s="11"/>
      <c r="I93" s="30"/>
      <c r="J93" s="30"/>
      <c r="K93" s="30"/>
      <c r="L93" s="30"/>
      <c r="M93" s="30"/>
      <c r="N93" s="30"/>
      <c r="O93" s="30"/>
      <c r="P93" s="11"/>
      <c r="Q93" s="6"/>
      <c r="R93" s="11"/>
      <c r="S93" s="16"/>
      <c r="T93" s="11"/>
      <c r="U93" s="4"/>
      <c r="V93" s="11"/>
      <c r="W93" s="11"/>
      <c r="X93" s="11"/>
      <c r="Y93" s="11"/>
      <c r="Z93" s="11"/>
      <c r="AA93" s="11"/>
      <c r="AB93" s="11"/>
      <c r="AC93" s="11"/>
      <c r="AD93" s="11"/>
      <c r="AE93" s="68"/>
      <c r="AF93" s="31"/>
      <c r="AG93" s="32"/>
      <c r="AH93" s="32"/>
      <c r="AI93" s="31"/>
      <c r="AJ93" s="31"/>
      <c r="AK93" s="33"/>
      <c r="AL93" s="33"/>
      <c r="AM93" s="33"/>
      <c r="AN93" s="33"/>
      <c r="AO93" s="33"/>
      <c r="AP93" s="33"/>
      <c r="AQ93" s="33"/>
      <c r="AR93" s="33"/>
      <c r="AS93" s="33"/>
      <c r="AT93" s="33"/>
      <c r="AU93" s="33"/>
      <c r="AV93" s="33"/>
      <c r="AW93" s="33"/>
      <c r="AX93" s="33"/>
      <c r="AY93" s="33"/>
      <c r="AZ93" s="33"/>
      <c r="BA93" s="33"/>
      <c r="BB93" s="33"/>
      <c r="BC93" s="34"/>
      <c r="BD93" s="34"/>
      <c r="BE93" s="34"/>
      <c r="BF93" s="34"/>
      <c r="BG93" s="34"/>
      <c r="BH93" s="34"/>
      <c r="BI93" s="34"/>
      <c r="BJ93" s="34"/>
      <c r="BK93" s="34"/>
      <c r="BL93" s="34"/>
      <c r="BM93" s="34"/>
      <c r="BN93" s="34"/>
      <c r="BO93" s="34"/>
      <c r="BP93" s="34"/>
      <c r="BQ93" s="34"/>
      <c r="BR93" s="34"/>
      <c r="BS93" s="34"/>
      <c r="BT93" s="34"/>
      <c r="BU93" s="5"/>
      <c r="BV93" s="5"/>
      <c r="BW93" s="5"/>
      <c r="BX93" s="5"/>
      <c r="BY93" s="5"/>
      <c r="BZ93" s="5"/>
      <c r="CA93" s="5"/>
      <c r="CB93" s="5"/>
      <c r="CC93" s="5"/>
      <c r="CD93" s="5"/>
      <c r="CE93" s="5"/>
      <c r="CF93" s="5"/>
      <c r="CG93" s="5"/>
      <c r="CH93" s="5"/>
      <c r="CI93" s="5"/>
      <c r="CJ93" s="5"/>
      <c r="CK93" s="5"/>
      <c r="CL93" s="5"/>
    </row>
    <row r="94" spans="1:90" ht="10.35" hidden="1" customHeight="1" x14ac:dyDescent="0.15">
      <c r="A94" s="4"/>
      <c r="B94" s="35"/>
      <c r="C94" s="35"/>
      <c r="D94" s="11"/>
      <c r="E94" s="35"/>
      <c r="F94" s="35"/>
      <c r="G94" s="35"/>
      <c r="H94" s="11"/>
      <c r="I94" s="30"/>
      <c r="J94" s="30"/>
      <c r="K94" s="30"/>
      <c r="L94" s="30"/>
      <c r="M94" s="30"/>
      <c r="N94" s="30"/>
      <c r="O94" s="30"/>
      <c r="P94" s="11"/>
      <c r="Q94" s="6"/>
      <c r="R94" s="11"/>
      <c r="S94" s="16"/>
      <c r="T94" s="11"/>
      <c r="U94" s="4"/>
      <c r="V94" s="11"/>
      <c r="W94" s="11"/>
      <c r="X94" s="11"/>
      <c r="Y94" s="11"/>
      <c r="Z94" s="11"/>
      <c r="AA94" s="11"/>
      <c r="AB94" s="11"/>
      <c r="AC94" s="11"/>
      <c r="AD94" s="11"/>
      <c r="AE94" s="68"/>
      <c r="AF94" s="31"/>
      <c r="AG94" s="32"/>
      <c r="AH94" s="32"/>
      <c r="AI94" s="31"/>
      <c r="AJ94" s="31"/>
      <c r="AK94" s="33"/>
      <c r="AL94" s="33"/>
      <c r="AM94" s="33"/>
      <c r="AN94" s="33"/>
      <c r="AO94" s="33"/>
      <c r="AP94" s="33"/>
      <c r="AQ94" s="33"/>
      <c r="AR94" s="33"/>
      <c r="AS94" s="33"/>
      <c r="AT94" s="33"/>
      <c r="AU94" s="33"/>
      <c r="AV94" s="33"/>
      <c r="AW94" s="33"/>
      <c r="AX94" s="33"/>
      <c r="AY94" s="33"/>
      <c r="AZ94" s="33"/>
      <c r="BA94" s="33"/>
      <c r="BB94" s="33"/>
      <c r="BC94" s="34"/>
      <c r="BD94" s="34"/>
      <c r="BE94" s="34"/>
      <c r="BF94" s="34"/>
      <c r="BG94" s="34"/>
      <c r="BH94" s="34"/>
      <c r="BI94" s="34"/>
      <c r="BJ94" s="34"/>
      <c r="BK94" s="34"/>
      <c r="BL94" s="34"/>
      <c r="BM94" s="34"/>
      <c r="BN94" s="34"/>
      <c r="BO94" s="34"/>
      <c r="BP94" s="34"/>
      <c r="BQ94" s="34"/>
      <c r="BR94" s="34"/>
      <c r="BS94" s="34"/>
      <c r="BT94" s="34"/>
      <c r="BU94" s="5"/>
      <c r="BV94" s="5"/>
      <c r="BW94" s="5"/>
      <c r="BX94" s="5"/>
      <c r="BY94" s="5"/>
      <c r="BZ94" s="5"/>
      <c r="CA94" s="5"/>
      <c r="CB94" s="5"/>
      <c r="CC94" s="5"/>
      <c r="CD94" s="5"/>
      <c r="CE94" s="5"/>
      <c r="CF94" s="5"/>
      <c r="CG94" s="5"/>
      <c r="CH94" s="5"/>
      <c r="CI94" s="5"/>
      <c r="CJ94" s="5"/>
      <c r="CK94" s="5"/>
      <c r="CL94" s="5"/>
    </row>
    <row r="95" spans="1:90" ht="10.35" hidden="1" customHeight="1" x14ac:dyDescent="0.15">
      <c r="A95" s="4"/>
      <c r="B95" s="35"/>
      <c r="C95" s="35"/>
      <c r="D95" s="11"/>
      <c r="E95" s="35"/>
      <c r="F95" s="35"/>
      <c r="G95" s="35"/>
      <c r="H95" s="11"/>
      <c r="I95" s="30"/>
      <c r="J95" s="30"/>
      <c r="K95" s="30"/>
      <c r="L95" s="30"/>
      <c r="M95" s="30"/>
      <c r="N95" s="30"/>
      <c r="O95" s="30"/>
      <c r="P95" s="11"/>
      <c r="Q95" s="6"/>
      <c r="R95" s="11"/>
      <c r="S95" s="16"/>
      <c r="T95" s="11"/>
      <c r="U95" s="4"/>
      <c r="V95" s="11"/>
      <c r="W95" s="11"/>
      <c r="X95" s="11"/>
      <c r="Y95" s="11"/>
      <c r="Z95" s="11"/>
      <c r="AA95" s="11"/>
      <c r="AB95" s="11"/>
      <c r="AC95" s="11"/>
      <c r="AD95" s="11"/>
      <c r="AE95" s="68"/>
      <c r="AF95" s="31"/>
      <c r="AG95" s="32"/>
      <c r="AH95" s="32"/>
      <c r="AI95" s="31"/>
      <c r="AJ95" s="31"/>
      <c r="AK95" s="33"/>
      <c r="AL95" s="33"/>
      <c r="AM95" s="33"/>
      <c r="AN95" s="33"/>
      <c r="AO95" s="33"/>
      <c r="AP95" s="33"/>
      <c r="AQ95" s="33"/>
      <c r="AR95" s="33"/>
      <c r="AS95" s="33"/>
      <c r="AT95" s="33"/>
      <c r="AU95" s="33"/>
      <c r="AV95" s="33"/>
      <c r="AW95" s="33"/>
      <c r="AX95" s="33"/>
      <c r="AY95" s="33"/>
      <c r="AZ95" s="33"/>
      <c r="BA95" s="33"/>
      <c r="BB95" s="33"/>
      <c r="BC95" s="34"/>
      <c r="BD95" s="34"/>
      <c r="BE95" s="34"/>
      <c r="BF95" s="34"/>
      <c r="BG95" s="34"/>
      <c r="BH95" s="34"/>
      <c r="BI95" s="34"/>
      <c r="BJ95" s="34"/>
      <c r="BK95" s="34"/>
      <c r="BL95" s="34"/>
      <c r="BM95" s="34"/>
      <c r="BN95" s="34"/>
      <c r="BO95" s="34"/>
      <c r="BP95" s="34"/>
      <c r="BQ95" s="34"/>
      <c r="BR95" s="34"/>
      <c r="BS95" s="34"/>
      <c r="BT95" s="34"/>
      <c r="BU95" s="5"/>
      <c r="BV95" s="5"/>
      <c r="BW95" s="5"/>
      <c r="BX95" s="5"/>
      <c r="BY95" s="5"/>
      <c r="BZ95" s="5"/>
      <c r="CA95" s="5"/>
      <c r="CB95" s="5"/>
      <c r="CC95" s="5"/>
      <c r="CD95" s="5"/>
      <c r="CE95" s="5"/>
      <c r="CF95" s="5"/>
      <c r="CG95" s="5"/>
      <c r="CH95" s="5"/>
      <c r="CI95" s="5"/>
      <c r="CJ95" s="5"/>
      <c r="CK95" s="5"/>
      <c r="CL95" s="5"/>
    </row>
    <row r="96" spans="1:90" ht="10.35" hidden="1" customHeight="1" x14ac:dyDescent="0.15">
      <c r="A96" s="4"/>
      <c r="B96" s="35"/>
      <c r="C96" s="35"/>
      <c r="D96" s="11"/>
      <c r="E96" s="35"/>
      <c r="F96" s="35"/>
      <c r="G96" s="35"/>
      <c r="H96" s="11"/>
      <c r="I96" s="30"/>
      <c r="J96" s="30"/>
      <c r="K96" s="30"/>
      <c r="L96" s="30"/>
      <c r="M96" s="30"/>
      <c r="N96" s="30"/>
      <c r="O96" s="30"/>
      <c r="P96" s="11"/>
      <c r="Q96" s="6"/>
      <c r="R96" s="11"/>
      <c r="S96" s="16"/>
      <c r="T96" s="11"/>
      <c r="U96" s="4"/>
      <c r="V96" s="11"/>
      <c r="W96" s="11"/>
      <c r="X96" s="11"/>
      <c r="Y96" s="11"/>
      <c r="Z96" s="11"/>
      <c r="AA96" s="11"/>
      <c r="AB96" s="11"/>
      <c r="AC96" s="11"/>
      <c r="AD96" s="11"/>
      <c r="AE96" s="68"/>
      <c r="AF96" s="31"/>
      <c r="AG96" s="32"/>
      <c r="AH96" s="32"/>
      <c r="AI96" s="31"/>
      <c r="AJ96" s="31"/>
      <c r="AK96" s="33"/>
      <c r="AL96" s="33"/>
      <c r="AM96" s="33"/>
      <c r="AN96" s="33"/>
      <c r="AO96" s="33"/>
      <c r="AP96" s="33"/>
      <c r="AQ96" s="33"/>
      <c r="AR96" s="33"/>
      <c r="AS96" s="33"/>
      <c r="AT96" s="33"/>
      <c r="AU96" s="33"/>
      <c r="AV96" s="33"/>
      <c r="AW96" s="33"/>
      <c r="AX96" s="33"/>
      <c r="AY96" s="33"/>
      <c r="AZ96" s="33"/>
      <c r="BA96" s="33"/>
      <c r="BB96" s="33"/>
      <c r="BC96" s="34"/>
      <c r="BD96" s="34"/>
      <c r="BE96" s="34"/>
      <c r="BF96" s="34"/>
      <c r="BG96" s="34"/>
      <c r="BH96" s="34"/>
      <c r="BI96" s="34"/>
      <c r="BJ96" s="34"/>
      <c r="BK96" s="34"/>
      <c r="BL96" s="34"/>
      <c r="BM96" s="34"/>
      <c r="BN96" s="34"/>
      <c r="BO96" s="34"/>
      <c r="BP96" s="34"/>
      <c r="BQ96" s="34"/>
      <c r="BR96" s="34"/>
      <c r="BS96" s="34"/>
      <c r="BT96" s="34"/>
      <c r="BU96" s="5"/>
      <c r="BV96" s="5"/>
      <c r="BW96" s="5"/>
      <c r="BX96" s="5"/>
      <c r="BY96" s="5"/>
      <c r="BZ96" s="5"/>
      <c r="CA96" s="5"/>
      <c r="CB96" s="5"/>
      <c r="CC96" s="5"/>
      <c r="CD96" s="5"/>
      <c r="CE96" s="5"/>
      <c r="CF96" s="5"/>
      <c r="CG96" s="5"/>
      <c r="CH96" s="5"/>
      <c r="CI96" s="5"/>
      <c r="CJ96" s="5"/>
      <c r="CK96" s="5"/>
      <c r="CL96" s="5"/>
    </row>
    <row r="97" spans="1:90" ht="10.35" hidden="1" customHeight="1" x14ac:dyDescent="0.15">
      <c r="A97" s="4"/>
      <c r="B97" s="35"/>
      <c r="C97" s="35"/>
      <c r="D97" s="11"/>
      <c r="E97" s="35"/>
      <c r="F97" s="35"/>
      <c r="G97" s="35"/>
      <c r="H97" s="11"/>
      <c r="I97" s="30"/>
      <c r="J97" s="30"/>
      <c r="K97" s="30"/>
      <c r="L97" s="30"/>
      <c r="M97" s="30"/>
      <c r="N97" s="30"/>
      <c r="O97" s="30"/>
      <c r="P97" s="11"/>
      <c r="Q97" s="6"/>
      <c r="R97" s="11"/>
      <c r="S97" s="16"/>
      <c r="T97" s="11"/>
      <c r="U97" s="4"/>
      <c r="V97" s="11"/>
      <c r="W97" s="11"/>
      <c r="X97" s="11"/>
      <c r="Y97" s="11"/>
      <c r="Z97" s="11"/>
      <c r="AA97" s="11"/>
      <c r="AB97" s="11"/>
      <c r="AC97" s="11"/>
      <c r="AD97" s="11"/>
      <c r="AE97" s="68"/>
      <c r="AF97" s="31"/>
      <c r="AG97" s="32"/>
      <c r="AH97" s="32"/>
      <c r="AI97" s="31"/>
      <c r="AJ97" s="31"/>
      <c r="AK97" s="33"/>
      <c r="AL97" s="33"/>
      <c r="AM97" s="33"/>
      <c r="AN97" s="33"/>
      <c r="AO97" s="33"/>
      <c r="AP97" s="33"/>
      <c r="AQ97" s="33"/>
      <c r="AR97" s="33"/>
      <c r="AS97" s="33"/>
      <c r="AT97" s="33"/>
      <c r="AU97" s="33"/>
      <c r="AV97" s="33"/>
      <c r="AW97" s="33"/>
      <c r="AX97" s="33"/>
      <c r="AY97" s="33"/>
      <c r="AZ97" s="33"/>
      <c r="BA97" s="33"/>
      <c r="BB97" s="33"/>
      <c r="BC97" s="34"/>
      <c r="BD97" s="34"/>
      <c r="BE97" s="34"/>
      <c r="BF97" s="34"/>
      <c r="BG97" s="34"/>
      <c r="BH97" s="34"/>
      <c r="BI97" s="34"/>
      <c r="BJ97" s="34"/>
      <c r="BK97" s="34"/>
      <c r="BL97" s="34"/>
      <c r="BM97" s="34"/>
      <c r="BN97" s="34"/>
      <c r="BO97" s="34"/>
      <c r="BP97" s="34"/>
      <c r="BQ97" s="34"/>
      <c r="BR97" s="34"/>
      <c r="BS97" s="34"/>
      <c r="BT97" s="34"/>
      <c r="BU97" s="5"/>
      <c r="BV97" s="5"/>
      <c r="BW97" s="5"/>
      <c r="BX97" s="5"/>
      <c r="BY97" s="5"/>
      <c r="BZ97" s="5"/>
      <c r="CA97" s="5"/>
      <c r="CB97" s="5"/>
      <c r="CC97" s="5"/>
      <c r="CD97" s="5"/>
      <c r="CE97" s="5"/>
      <c r="CF97" s="5"/>
      <c r="CG97" s="5"/>
      <c r="CH97" s="5"/>
      <c r="CI97" s="5"/>
      <c r="CJ97" s="5"/>
      <c r="CK97" s="5"/>
      <c r="CL97" s="5"/>
    </row>
    <row r="98" spans="1:90" ht="10.35" hidden="1" customHeight="1" x14ac:dyDescent="0.15">
      <c r="A98" s="4"/>
      <c r="B98" s="35"/>
      <c r="C98" s="35"/>
      <c r="D98" s="11"/>
      <c r="E98" s="35"/>
      <c r="F98" s="35"/>
      <c r="G98" s="35"/>
      <c r="H98" s="11"/>
      <c r="I98" s="30"/>
      <c r="J98" s="30"/>
      <c r="K98" s="30"/>
      <c r="L98" s="30"/>
      <c r="M98" s="30"/>
      <c r="N98" s="30"/>
      <c r="O98" s="30"/>
      <c r="P98" s="11"/>
      <c r="Q98" s="6"/>
      <c r="R98" s="11"/>
      <c r="S98" s="16"/>
      <c r="T98" s="11"/>
      <c r="U98" s="4"/>
      <c r="V98" s="11"/>
      <c r="W98" s="11"/>
      <c r="X98" s="11"/>
      <c r="Y98" s="11"/>
      <c r="Z98" s="11"/>
      <c r="AA98" s="11"/>
      <c r="AB98" s="11"/>
      <c r="AC98" s="11"/>
      <c r="AD98" s="11"/>
      <c r="AE98" s="68"/>
      <c r="AF98" s="31"/>
      <c r="AG98" s="32"/>
      <c r="AH98" s="32"/>
      <c r="AI98" s="31"/>
      <c r="AJ98" s="31"/>
      <c r="AK98" s="33"/>
      <c r="AL98" s="33"/>
      <c r="AM98" s="33"/>
      <c r="AN98" s="33"/>
      <c r="AO98" s="33"/>
      <c r="AP98" s="33"/>
      <c r="AQ98" s="33"/>
      <c r="AR98" s="33"/>
      <c r="AS98" s="33"/>
      <c r="AT98" s="33"/>
      <c r="AU98" s="33"/>
      <c r="AV98" s="33"/>
      <c r="AW98" s="33"/>
      <c r="AX98" s="33"/>
      <c r="AY98" s="33"/>
      <c r="AZ98" s="33"/>
      <c r="BA98" s="33"/>
      <c r="BB98" s="33"/>
      <c r="BC98" s="34"/>
      <c r="BD98" s="34"/>
      <c r="BE98" s="34"/>
      <c r="BF98" s="34"/>
      <c r="BG98" s="34"/>
      <c r="BH98" s="34"/>
      <c r="BI98" s="34"/>
      <c r="BJ98" s="34"/>
      <c r="BK98" s="34"/>
      <c r="BL98" s="34"/>
      <c r="BM98" s="34"/>
      <c r="BN98" s="34"/>
      <c r="BO98" s="34"/>
      <c r="BP98" s="34"/>
      <c r="BQ98" s="34"/>
      <c r="BR98" s="34"/>
      <c r="BS98" s="34"/>
      <c r="BT98" s="34"/>
      <c r="BU98" s="5"/>
      <c r="BV98" s="5"/>
      <c r="BW98" s="5"/>
      <c r="BX98" s="5"/>
      <c r="BY98" s="5"/>
      <c r="BZ98" s="5"/>
      <c r="CA98" s="5"/>
      <c r="CB98" s="5"/>
      <c r="CC98" s="5"/>
      <c r="CD98" s="5"/>
      <c r="CE98" s="5"/>
      <c r="CF98" s="5"/>
      <c r="CG98" s="5"/>
      <c r="CH98" s="5"/>
      <c r="CI98" s="5"/>
      <c r="CJ98" s="5"/>
      <c r="CK98" s="5"/>
      <c r="CL98" s="5"/>
    </row>
    <row r="99" spans="1:90" ht="10.35" hidden="1" customHeight="1" x14ac:dyDescent="0.15">
      <c r="A99" s="4"/>
      <c r="B99" s="35"/>
      <c r="C99" s="35"/>
      <c r="D99" s="11"/>
      <c r="E99" s="35"/>
      <c r="F99" s="35"/>
      <c r="G99" s="35"/>
      <c r="H99" s="11"/>
      <c r="I99" s="30"/>
      <c r="J99" s="30"/>
      <c r="K99" s="30"/>
      <c r="L99" s="30"/>
      <c r="M99" s="30"/>
      <c r="N99" s="30"/>
      <c r="O99" s="30"/>
      <c r="P99" s="11"/>
      <c r="Q99" s="6"/>
      <c r="R99" s="11"/>
      <c r="S99" s="16"/>
      <c r="T99" s="11"/>
      <c r="U99" s="4"/>
      <c r="V99" s="11"/>
      <c r="W99" s="11"/>
      <c r="X99" s="11"/>
      <c r="Y99" s="11"/>
      <c r="Z99" s="11"/>
      <c r="AA99" s="11"/>
      <c r="AB99" s="11"/>
      <c r="AC99" s="11"/>
      <c r="AD99" s="11"/>
      <c r="AE99" s="68"/>
      <c r="AF99" s="31"/>
      <c r="AG99" s="32"/>
      <c r="AH99" s="32"/>
      <c r="AI99" s="31"/>
      <c r="AJ99" s="31"/>
      <c r="AK99" s="33"/>
      <c r="AL99" s="33"/>
      <c r="AM99" s="33"/>
      <c r="AN99" s="33"/>
      <c r="AO99" s="33"/>
      <c r="AP99" s="33"/>
      <c r="AQ99" s="33"/>
      <c r="AR99" s="33"/>
      <c r="AS99" s="33"/>
      <c r="AT99" s="33"/>
      <c r="AU99" s="33"/>
      <c r="AV99" s="33"/>
      <c r="AW99" s="33"/>
      <c r="AX99" s="33"/>
      <c r="AY99" s="33"/>
      <c r="AZ99" s="33"/>
      <c r="BA99" s="33"/>
      <c r="BB99" s="33"/>
      <c r="BC99" s="34"/>
      <c r="BD99" s="34"/>
      <c r="BE99" s="34"/>
      <c r="BF99" s="34"/>
      <c r="BG99" s="34"/>
      <c r="BH99" s="34"/>
      <c r="BI99" s="34"/>
      <c r="BJ99" s="34"/>
      <c r="BK99" s="34"/>
      <c r="BL99" s="34"/>
      <c r="BM99" s="34"/>
      <c r="BN99" s="34"/>
      <c r="BO99" s="34"/>
      <c r="BP99" s="34"/>
      <c r="BQ99" s="34"/>
      <c r="BR99" s="34"/>
      <c r="BS99" s="34"/>
      <c r="BT99" s="34"/>
      <c r="BU99" s="5"/>
      <c r="BV99" s="5"/>
      <c r="BW99" s="5"/>
      <c r="BX99" s="5"/>
      <c r="BY99" s="5"/>
      <c r="BZ99" s="5"/>
      <c r="CA99" s="5"/>
      <c r="CB99" s="5"/>
      <c r="CC99" s="5"/>
      <c r="CD99" s="5"/>
      <c r="CE99" s="5"/>
      <c r="CF99" s="5"/>
      <c r="CG99" s="5"/>
      <c r="CH99" s="5"/>
      <c r="CI99" s="5"/>
      <c r="CJ99" s="5"/>
      <c r="CK99" s="5"/>
      <c r="CL99" s="5"/>
    </row>
    <row r="100" spans="1:90" ht="10.35" hidden="1" customHeight="1" x14ac:dyDescent="0.15">
      <c r="A100" s="4"/>
      <c r="B100" s="35"/>
      <c r="C100" s="35"/>
      <c r="D100" s="11"/>
      <c r="E100" s="35"/>
      <c r="F100" s="35"/>
      <c r="G100" s="35"/>
      <c r="H100" s="11"/>
      <c r="I100" s="30"/>
      <c r="J100" s="30"/>
      <c r="K100" s="30"/>
      <c r="L100" s="30"/>
      <c r="M100" s="30"/>
      <c r="N100" s="30"/>
      <c r="O100" s="30"/>
      <c r="P100" s="11"/>
      <c r="Q100" s="6"/>
      <c r="R100" s="11"/>
      <c r="S100" s="16"/>
      <c r="T100" s="11"/>
      <c r="U100" s="4"/>
      <c r="V100" s="11"/>
      <c r="W100" s="11"/>
      <c r="X100" s="11"/>
      <c r="Y100" s="11"/>
      <c r="Z100" s="11"/>
      <c r="AA100" s="11"/>
      <c r="AB100" s="11"/>
      <c r="AC100" s="11"/>
      <c r="AD100" s="11"/>
      <c r="AE100" s="68"/>
      <c r="AF100" s="31"/>
      <c r="AG100" s="32"/>
      <c r="AH100" s="32"/>
      <c r="AI100" s="31"/>
      <c r="AJ100" s="31"/>
      <c r="AK100" s="33"/>
      <c r="AL100" s="33"/>
      <c r="AM100" s="33"/>
      <c r="AN100" s="33"/>
      <c r="AO100" s="33"/>
      <c r="AP100" s="33"/>
      <c r="AQ100" s="33"/>
      <c r="AR100" s="33"/>
      <c r="AS100" s="33"/>
      <c r="AT100" s="33"/>
      <c r="AU100" s="33"/>
      <c r="AV100" s="33"/>
      <c r="AW100" s="33"/>
      <c r="AX100" s="33"/>
      <c r="AY100" s="33"/>
      <c r="AZ100" s="33"/>
      <c r="BA100" s="33"/>
      <c r="BB100" s="33"/>
      <c r="BC100" s="34"/>
      <c r="BD100" s="34"/>
      <c r="BE100" s="34"/>
      <c r="BF100" s="34"/>
      <c r="BG100" s="34"/>
      <c r="BH100" s="34"/>
      <c r="BI100" s="34"/>
      <c r="BJ100" s="34"/>
      <c r="BK100" s="34"/>
      <c r="BL100" s="34"/>
      <c r="BM100" s="34"/>
      <c r="BN100" s="34"/>
      <c r="BO100" s="34"/>
      <c r="BP100" s="34"/>
      <c r="BQ100" s="34"/>
      <c r="BR100" s="34"/>
      <c r="BS100" s="34"/>
      <c r="BT100" s="34"/>
      <c r="BU100" s="5"/>
      <c r="BV100" s="5"/>
      <c r="BW100" s="5"/>
      <c r="BX100" s="5"/>
      <c r="BY100" s="5"/>
      <c r="BZ100" s="5"/>
      <c r="CA100" s="5"/>
      <c r="CB100" s="5"/>
      <c r="CC100" s="5"/>
      <c r="CD100" s="5"/>
      <c r="CE100" s="5"/>
      <c r="CF100" s="5"/>
      <c r="CG100" s="5"/>
      <c r="CH100" s="5"/>
      <c r="CI100" s="5"/>
      <c r="CJ100" s="5"/>
      <c r="CK100" s="5"/>
      <c r="CL100" s="5"/>
    </row>
    <row r="101" spans="1:90" ht="10.35" hidden="1" customHeight="1" x14ac:dyDescent="0.15">
      <c r="A101" s="4"/>
      <c r="B101" s="35"/>
      <c r="C101" s="35"/>
      <c r="D101" s="11"/>
      <c r="E101" s="35"/>
      <c r="F101" s="35"/>
      <c r="G101" s="35"/>
      <c r="H101" s="11"/>
      <c r="I101" s="30"/>
      <c r="J101" s="30"/>
      <c r="K101" s="30"/>
      <c r="L101" s="30"/>
      <c r="M101" s="30"/>
      <c r="N101" s="30"/>
      <c r="O101" s="30"/>
      <c r="P101" s="11"/>
      <c r="Q101" s="6"/>
      <c r="R101" s="11"/>
      <c r="S101" s="16"/>
      <c r="T101" s="11"/>
      <c r="U101" s="4"/>
      <c r="V101" s="11"/>
      <c r="W101" s="11"/>
      <c r="X101" s="11"/>
      <c r="Y101" s="11"/>
      <c r="Z101" s="11"/>
      <c r="AA101" s="11"/>
      <c r="AB101" s="11"/>
      <c r="AC101" s="11"/>
      <c r="AD101" s="11"/>
      <c r="AE101" s="68"/>
      <c r="AF101" s="31"/>
      <c r="AG101" s="32"/>
      <c r="AH101" s="32"/>
      <c r="AI101" s="31"/>
      <c r="AJ101" s="31"/>
      <c r="AK101" s="33"/>
      <c r="AL101" s="33"/>
      <c r="AM101" s="33"/>
      <c r="AN101" s="33"/>
      <c r="AO101" s="33"/>
      <c r="AP101" s="33"/>
      <c r="AQ101" s="33"/>
      <c r="AR101" s="33"/>
      <c r="AS101" s="33"/>
      <c r="AT101" s="33"/>
      <c r="AU101" s="33"/>
      <c r="AV101" s="33"/>
      <c r="AW101" s="33"/>
      <c r="AX101" s="33"/>
      <c r="AY101" s="33"/>
      <c r="AZ101" s="33"/>
      <c r="BA101" s="33"/>
      <c r="BB101" s="33"/>
      <c r="BC101" s="34"/>
      <c r="BD101" s="34"/>
      <c r="BE101" s="34"/>
      <c r="BF101" s="34"/>
      <c r="BG101" s="34"/>
      <c r="BH101" s="34"/>
      <c r="BI101" s="34"/>
      <c r="BJ101" s="34"/>
      <c r="BK101" s="34"/>
      <c r="BL101" s="34"/>
      <c r="BM101" s="34"/>
      <c r="BN101" s="34"/>
      <c r="BO101" s="34"/>
      <c r="BP101" s="34"/>
      <c r="BQ101" s="34"/>
      <c r="BR101" s="34"/>
      <c r="BS101" s="34"/>
      <c r="BT101" s="34"/>
      <c r="BU101" s="5"/>
      <c r="BV101" s="5"/>
      <c r="BW101" s="5"/>
      <c r="BX101" s="5"/>
      <c r="BY101" s="5"/>
      <c r="BZ101" s="5"/>
      <c r="CA101" s="5"/>
      <c r="CB101" s="5"/>
      <c r="CC101" s="5"/>
      <c r="CD101" s="5"/>
      <c r="CE101" s="5"/>
      <c r="CF101" s="5"/>
      <c r="CG101" s="5"/>
      <c r="CH101" s="5"/>
      <c r="CI101" s="5"/>
      <c r="CJ101" s="5"/>
      <c r="CK101" s="5"/>
      <c r="CL101" s="5"/>
    </row>
    <row r="102" spans="1:90" ht="10.35" hidden="1" customHeight="1" x14ac:dyDescent="0.15">
      <c r="A102" s="4"/>
      <c r="B102" s="35"/>
      <c r="C102" s="35"/>
      <c r="D102" s="11"/>
      <c r="E102" s="35"/>
      <c r="F102" s="35"/>
      <c r="G102" s="35"/>
      <c r="H102" s="11"/>
      <c r="I102" s="30"/>
      <c r="J102" s="30"/>
      <c r="K102" s="30"/>
      <c r="L102" s="30"/>
      <c r="M102" s="30"/>
      <c r="N102" s="30"/>
      <c r="O102" s="30"/>
      <c r="P102" s="11"/>
      <c r="Q102" s="6"/>
      <c r="R102" s="11"/>
      <c r="S102" s="16"/>
      <c r="T102" s="11"/>
      <c r="U102" s="4"/>
      <c r="V102" s="11"/>
      <c r="W102" s="11"/>
      <c r="X102" s="11"/>
      <c r="Y102" s="11"/>
      <c r="Z102" s="11"/>
      <c r="AA102" s="11"/>
      <c r="AB102" s="11"/>
      <c r="AC102" s="11"/>
      <c r="AD102" s="11"/>
      <c r="AE102" s="68"/>
      <c r="AF102" s="31"/>
      <c r="AG102" s="32"/>
      <c r="AH102" s="32"/>
      <c r="AI102" s="31"/>
      <c r="AJ102" s="31"/>
      <c r="AK102" s="33"/>
      <c r="AL102" s="33"/>
      <c r="AM102" s="33"/>
      <c r="AN102" s="33"/>
      <c r="AO102" s="33"/>
      <c r="AP102" s="33"/>
      <c r="AQ102" s="33"/>
      <c r="AR102" s="33"/>
      <c r="AS102" s="33"/>
      <c r="AT102" s="33"/>
      <c r="AU102" s="33"/>
      <c r="AV102" s="33"/>
      <c r="AW102" s="33"/>
      <c r="AX102" s="33"/>
      <c r="AY102" s="33"/>
      <c r="AZ102" s="33"/>
      <c r="BA102" s="33"/>
      <c r="BB102" s="33"/>
      <c r="BC102" s="34"/>
      <c r="BD102" s="34"/>
      <c r="BE102" s="34"/>
      <c r="BF102" s="34"/>
      <c r="BG102" s="34"/>
      <c r="BH102" s="34"/>
      <c r="BI102" s="34"/>
      <c r="BJ102" s="34"/>
      <c r="BK102" s="34"/>
      <c r="BL102" s="34"/>
      <c r="BM102" s="34"/>
      <c r="BN102" s="34"/>
      <c r="BO102" s="34"/>
      <c r="BP102" s="34"/>
      <c r="BQ102" s="34"/>
      <c r="BR102" s="34"/>
      <c r="BS102" s="34"/>
      <c r="BT102" s="34"/>
      <c r="BU102" s="5"/>
      <c r="BV102" s="5"/>
      <c r="BW102" s="5"/>
      <c r="BX102" s="5"/>
      <c r="BY102" s="5"/>
      <c r="BZ102" s="5"/>
      <c r="CA102" s="5"/>
      <c r="CB102" s="5"/>
      <c r="CC102" s="5"/>
      <c r="CD102" s="5"/>
      <c r="CE102" s="5"/>
      <c r="CF102" s="5"/>
      <c r="CG102" s="5"/>
      <c r="CH102" s="5"/>
      <c r="CI102" s="5"/>
      <c r="CJ102" s="5"/>
      <c r="CK102" s="5"/>
      <c r="CL102" s="5"/>
    </row>
    <row r="103" spans="1:90" ht="10.35" hidden="1" customHeight="1" x14ac:dyDescent="0.15">
      <c r="A103" s="4"/>
      <c r="B103" s="35"/>
      <c r="C103" s="35"/>
      <c r="D103" s="11"/>
      <c r="E103" s="35"/>
      <c r="F103" s="35"/>
      <c r="G103" s="35"/>
      <c r="H103" s="11"/>
      <c r="I103" s="30"/>
      <c r="J103" s="30"/>
      <c r="K103" s="30"/>
      <c r="L103" s="30"/>
      <c r="M103" s="30"/>
      <c r="N103" s="30"/>
      <c r="O103" s="30"/>
      <c r="P103" s="11"/>
      <c r="Q103" s="6"/>
      <c r="R103" s="11"/>
      <c r="S103" s="16"/>
      <c r="T103" s="11"/>
      <c r="U103" s="4"/>
      <c r="V103" s="11"/>
      <c r="W103" s="11"/>
      <c r="X103" s="11"/>
      <c r="Y103" s="11"/>
      <c r="Z103" s="11"/>
      <c r="AA103" s="11"/>
      <c r="AB103" s="11"/>
      <c r="AC103" s="11"/>
      <c r="AD103" s="11"/>
      <c r="AE103" s="68"/>
      <c r="AF103" s="31"/>
      <c r="AG103" s="32"/>
      <c r="AH103" s="32"/>
      <c r="AI103" s="31"/>
      <c r="AJ103" s="31"/>
      <c r="AK103" s="33"/>
      <c r="AL103" s="33"/>
      <c r="AM103" s="33"/>
      <c r="AN103" s="33"/>
      <c r="AO103" s="33"/>
      <c r="AP103" s="33"/>
      <c r="AQ103" s="33"/>
      <c r="AR103" s="33"/>
      <c r="AS103" s="33"/>
      <c r="AT103" s="33"/>
      <c r="AU103" s="33"/>
      <c r="AV103" s="33"/>
      <c r="AW103" s="33"/>
      <c r="AX103" s="33"/>
      <c r="AY103" s="33"/>
      <c r="AZ103" s="33"/>
      <c r="BA103" s="33"/>
      <c r="BB103" s="33"/>
      <c r="BC103" s="34"/>
      <c r="BD103" s="34"/>
      <c r="BE103" s="34"/>
      <c r="BF103" s="34"/>
      <c r="BG103" s="34"/>
      <c r="BH103" s="34"/>
      <c r="BI103" s="34"/>
      <c r="BJ103" s="34"/>
      <c r="BK103" s="34"/>
      <c r="BL103" s="34"/>
      <c r="BM103" s="34"/>
      <c r="BN103" s="34"/>
      <c r="BO103" s="34"/>
      <c r="BP103" s="34"/>
      <c r="BQ103" s="34"/>
      <c r="BR103" s="34"/>
      <c r="BS103" s="34"/>
      <c r="BT103" s="34"/>
      <c r="BU103" s="5"/>
      <c r="BV103" s="5"/>
      <c r="BW103" s="5"/>
      <c r="BX103" s="5"/>
      <c r="BY103" s="5"/>
      <c r="BZ103" s="5"/>
      <c r="CA103" s="5"/>
      <c r="CB103" s="5"/>
      <c r="CC103" s="5"/>
      <c r="CD103" s="5"/>
      <c r="CE103" s="5"/>
      <c r="CF103" s="5"/>
      <c r="CG103" s="5"/>
      <c r="CH103" s="5"/>
      <c r="CI103" s="5"/>
      <c r="CJ103" s="5"/>
      <c r="CK103" s="5"/>
      <c r="CL103" s="5"/>
    </row>
    <row r="104" spans="1:90" ht="10.35" hidden="1" customHeight="1" x14ac:dyDescent="0.15">
      <c r="A104" s="4"/>
      <c r="B104" s="35"/>
      <c r="C104" s="35"/>
      <c r="D104" s="11"/>
      <c r="E104" s="35"/>
      <c r="F104" s="35"/>
      <c r="G104" s="35"/>
      <c r="H104" s="11"/>
      <c r="I104" s="30"/>
      <c r="J104" s="30"/>
      <c r="K104" s="30"/>
      <c r="L104" s="30"/>
      <c r="M104" s="30"/>
      <c r="N104" s="30"/>
      <c r="O104" s="30"/>
      <c r="P104" s="11"/>
      <c r="Q104" s="6"/>
      <c r="R104" s="11"/>
      <c r="S104" s="16"/>
      <c r="T104" s="11"/>
      <c r="U104" s="4"/>
      <c r="V104" s="11"/>
      <c r="W104" s="11"/>
      <c r="X104" s="11"/>
      <c r="Y104" s="11"/>
      <c r="Z104" s="11"/>
      <c r="AA104" s="11"/>
      <c r="AB104" s="11"/>
      <c r="AC104" s="11"/>
      <c r="AD104" s="11"/>
      <c r="AE104" s="68"/>
      <c r="AF104" s="31"/>
      <c r="AG104" s="32"/>
      <c r="AH104" s="32"/>
      <c r="AI104" s="31"/>
      <c r="AJ104" s="31"/>
      <c r="AK104" s="33"/>
      <c r="AL104" s="33"/>
      <c r="AM104" s="33"/>
      <c r="AN104" s="33"/>
      <c r="AO104" s="33"/>
      <c r="AP104" s="33"/>
      <c r="AQ104" s="33"/>
      <c r="AR104" s="33"/>
      <c r="AS104" s="33"/>
      <c r="AT104" s="33"/>
      <c r="AU104" s="33"/>
      <c r="AV104" s="33"/>
      <c r="AW104" s="33"/>
      <c r="AX104" s="33"/>
      <c r="AY104" s="33"/>
      <c r="AZ104" s="33"/>
      <c r="BA104" s="33"/>
      <c r="BB104" s="33"/>
      <c r="BC104" s="34"/>
      <c r="BD104" s="34"/>
      <c r="BE104" s="34"/>
      <c r="BF104" s="34"/>
      <c r="BG104" s="34"/>
      <c r="BH104" s="34"/>
      <c r="BI104" s="34"/>
      <c r="BJ104" s="34"/>
      <c r="BK104" s="34"/>
      <c r="BL104" s="34"/>
      <c r="BM104" s="34"/>
      <c r="BN104" s="34"/>
      <c r="BO104" s="34"/>
      <c r="BP104" s="34"/>
      <c r="BQ104" s="34"/>
      <c r="BR104" s="34"/>
      <c r="BS104" s="34"/>
      <c r="BT104" s="34"/>
      <c r="BU104" s="5"/>
      <c r="BV104" s="5"/>
      <c r="BW104" s="5"/>
      <c r="BX104" s="5"/>
      <c r="BY104" s="5"/>
      <c r="BZ104" s="5"/>
      <c r="CA104" s="5"/>
      <c r="CB104" s="5"/>
      <c r="CC104" s="5"/>
      <c r="CD104" s="5"/>
      <c r="CE104" s="5"/>
      <c r="CF104" s="5"/>
      <c r="CG104" s="5"/>
      <c r="CH104" s="5"/>
      <c r="CI104" s="5"/>
      <c r="CJ104" s="5"/>
      <c r="CK104" s="5"/>
      <c r="CL104" s="5"/>
    </row>
    <row r="105" spans="1:90" ht="10.35" hidden="1" customHeight="1" x14ac:dyDescent="0.15">
      <c r="A105" s="4"/>
      <c r="B105" s="35"/>
      <c r="C105" s="35"/>
      <c r="D105" s="11"/>
      <c r="E105" s="35"/>
      <c r="F105" s="35"/>
      <c r="G105" s="35"/>
      <c r="H105" s="11"/>
      <c r="I105" s="30"/>
      <c r="J105" s="30"/>
      <c r="K105" s="30"/>
      <c r="L105" s="30"/>
      <c r="M105" s="30"/>
      <c r="N105" s="30"/>
      <c r="O105" s="30"/>
      <c r="P105" s="11"/>
      <c r="Q105" s="6"/>
      <c r="R105" s="11"/>
      <c r="S105" s="16"/>
      <c r="T105" s="11"/>
      <c r="U105" s="4"/>
      <c r="V105" s="11"/>
      <c r="W105" s="11"/>
      <c r="X105" s="11"/>
      <c r="Y105" s="11"/>
      <c r="Z105" s="11"/>
      <c r="AA105" s="11"/>
      <c r="AB105" s="11"/>
      <c r="AC105" s="11"/>
      <c r="AD105" s="11"/>
      <c r="AE105" s="68"/>
      <c r="AF105" s="31"/>
      <c r="AG105" s="32"/>
      <c r="AH105" s="32"/>
      <c r="AI105" s="31"/>
      <c r="AJ105" s="31"/>
      <c r="AK105" s="33"/>
      <c r="AL105" s="33"/>
      <c r="AM105" s="33"/>
      <c r="AN105" s="33"/>
      <c r="AO105" s="33"/>
      <c r="AP105" s="33"/>
      <c r="AQ105" s="33"/>
      <c r="AR105" s="33"/>
      <c r="AS105" s="33"/>
      <c r="AT105" s="33"/>
      <c r="AU105" s="33"/>
      <c r="AV105" s="33"/>
      <c r="AW105" s="33"/>
      <c r="AX105" s="33"/>
      <c r="AY105" s="33"/>
      <c r="AZ105" s="33"/>
      <c r="BA105" s="33"/>
      <c r="BB105" s="33"/>
      <c r="BC105" s="34"/>
      <c r="BD105" s="34"/>
      <c r="BE105" s="34"/>
      <c r="BF105" s="34"/>
      <c r="BG105" s="34"/>
      <c r="BH105" s="34"/>
      <c r="BI105" s="34"/>
      <c r="BJ105" s="34"/>
      <c r="BK105" s="34"/>
      <c r="BL105" s="34"/>
      <c r="BM105" s="34"/>
      <c r="BN105" s="34"/>
      <c r="BO105" s="34"/>
      <c r="BP105" s="34"/>
      <c r="BQ105" s="34"/>
      <c r="BR105" s="34"/>
      <c r="BS105" s="34"/>
      <c r="BT105" s="34"/>
      <c r="BU105" s="5"/>
      <c r="BV105" s="5"/>
      <c r="BW105" s="5"/>
      <c r="BX105" s="5"/>
      <c r="BY105" s="5"/>
      <c r="BZ105" s="5"/>
      <c r="CA105" s="5"/>
      <c r="CB105" s="5"/>
      <c r="CC105" s="5"/>
      <c r="CD105" s="5"/>
      <c r="CE105" s="5"/>
      <c r="CF105" s="5"/>
      <c r="CG105" s="5"/>
      <c r="CH105" s="5"/>
      <c r="CI105" s="5"/>
      <c r="CJ105" s="5"/>
      <c r="CK105" s="5"/>
      <c r="CL105" s="5"/>
    </row>
    <row r="106" spans="1:90" ht="10.35" hidden="1" customHeight="1" x14ac:dyDescent="0.15">
      <c r="A106" s="4"/>
      <c r="B106" s="35"/>
      <c r="C106" s="35"/>
      <c r="D106" s="11"/>
      <c r="E106" s="35"/>
      <c r="F106" s="35"/>
      <c r="G106" s="35"/>
      <c r="H106" s="11"/>
      <c r="I106" s="30"/>
      <c r="J106" s="30"/>
      <c r="K106" s="30"/>
      <c r="L106" s="30"/>
      <c r="M106" s="30"/>
      <c r="N106" s="30"/>
      <c r="O106" s="30"/>
      <c r="P106" s="11"/>
      <c r="Q106" s="6"/>
      <c r="R106" s="11"/>
      <c r="S106" s="16"/>
      <c r="T106" s="11"/>
      <c r="U106" s="4"/>
      <c r="V106" s="11"/>
      <c r="W106" s="11"/>
      <c r="X106" s="11"/>
      <c r="Y106" s="11"/>
      <c r="Z106" s="11"/>
      <c r="AA106" s="11"/>
      <c r="AB106" s="11"/>
      <c r="AC106" s="11"/>
      <c r="AD106" s="11"/>
      <c r="AE106" s="68"/>
      <c r="AF106" s="31"/>
      <c r="AG106" s="32"/>
      <c r="AH106" s="32"/>
      <c r="AI106" s="31"/>
      <c r="AJ106" s="31"/>
      <c r="AK106" s="33"/>
      <c r="AL106" s="33"/>
      <c r="AM106" s="33"/>
      <c r="AN106" s="33"/>
      <c r="AO106" s="33"/>
      <c r="AP106" s="33"/>
      <c r="AQ106" s="33"/>
      <c r="AR106" s="33"/>
      <c r="AS106" s="33"/>
      <c r="AT106" s="33"/>
      <c r="AU106" s="33"/>
      <c r="AV106" s="33"/>
      <c r="AW106" s="33"/>
      <c r="AX106" s="33"/>
      <c r="AY106" s="33"/>
      <c r="AZ106" s="33"/>
      <c r="BA106" s="33"/>
      <c r="BB106" s="33"/>
      <c r="BC106" s="34"/>
      <c r="BD106" s="34"/>
      <c r="BE106" s="34"/>
      <c r="BF106" s="34"/>
      <c r="BG106" s="34"/>
      <c r="BH106" s="34"/>
      <c r="BI106" s="34"/>
      <c r="BJ106" s="34"/>
      <c r="BK106" s="34"/>
      <c r="BL106" s="34"/>
      <c r="BM106" s="34"/>
      <c r="BN106" s="34"/>
      <c r="BO106" s="34"/>
      <c r="BP106" s="34"/>
      <c r="BQ106" s="34"/>
      <c r="BR106" s="34"/>
      <c r="BS106" s="34"/>
      <c r="BT106" s="34"/>
      <c r="BU106" s="5"/>
      <c r="BV106" s="5"/>
      <c r="BW106" s="5"/>
      <c r="BX106" s="5"/>
      <c r="BY106" s="5"/>
      <c r="BZ106" s="5"/>
      <c r="CA106" s="5"/>
      <c r="CB106" s="5"/>
      <c r="CC106" s="5"/>
      <c r="CD106" s="5"/>
      <c r="CE106" s="5"/>
      <c r="CF106" s="5"/>
      <c r="CG106" s="5"/>
      <c r="CH106" s="5"/>
      <c r="CI106" s="5"/>
      <c r="CJ106" s="5"/>
      <c r="CK106" s="5"/>
      <c r="CL106" s="5"/>
    </row>
    <row r="107" spans="1:90" ht="10.35" hidden="1" customHeight="1" x14ac:dyDescent="0.15">
      <c r="A107" s="4"/>
      <c r="B107" s="35"/>
      <c r="C107" s="35"/>
      <c r="D107" s="11"/>
      <c r="E107" s="35"/>
      <c r="F107" s="35"/>
      <c r="G107" s="35"/>
      <c r="H107" s="11"/>
      <c r="I107" s="30"/>
      <c r="J107" s="30"/>
      <c r="K107" s="30"/>
      <c r="L107" s="30"/>
      <c r="M107" s="30"/>
      <c r="N107" s="30"/>
      <c r="O107" s="30"/>
      <c r="P107" s="11"/>
      <c r="Q107" s="6"/>
      <c r="R107" s="11"/>
      <c r="S107" s="16"/>
      <c r="T107" s="11"/>
      <c r="U107" s="4"/>
      <c r="V107" s="11"/>
      <c r="W107" s="11"/>
      <c r="X107" s="11"/>
      <c r="Y107" s="11"/>
      <c r="Z107" s="11"/>
      <c r="AA107" s="11"/>
      <c r="AB107" s="11"/>
      <c r="AC107" s="11"/>
      <c r="AD107" s="11"/>
      <c r="AE107" s="68"/>
      <c r="AF107" s="31"/>
      <c r="AG107" s="32"/>
      <c r="AH107" s="32"/>
      <c r="AI107" s="31"/>
      <c r="AJ107" s="31"/>
      <c r="AK107" s="33"/>
      <c r="AL107" s="33"/>
      <c r="AM107" s="33"/>
      <c r="AN107" s="33"/>
      <c r="AO107" s="33"/>
      <c r="AP107" s="33"/>
      <c r="AQ107" s="33"/>
      <c r="AR107" s="33"/>
      <c r="AS107" s="33"/>
      <c r="AT107" s="33"/>
      <c r="AU107" s="33"/>
      <c r="AV107" s="33"/>
      <c r="AW107" s="33"/>
      <c r="AX107" s="33"/>
      <c r="AY107" s="33"/>
      <c r="AZ107" s="33"/>
      <c r="BA107" s="33"/>
      <c r="BB107" s="33"/>
      <c r="BC107" s="34"/>
      <c r="BD107" s="34"/>
      <c r="BE107" s="34"/>
      <c r="BF107" s="34"/>
      <c r="BG107" s="34"/>
      <c r="BH107" s="34"/>
      <c r="BI107" s="34"/>
      <c r="BJ107" s="34"/>
      <c r="BK107" s="34"/>
      <c r="BL107" s="34"/>
      <c r="BM107" s="34"/>
      <c r="BN107" s="34"/>
      <c r="BO107" s="34"/>
      <c r="BP107" s="34"/>
      <c r="BQ107" s="34"/>
      <c r="BR107" s="34"/>
      <c r="BS107" s="34"/>
      <c r="BT107" s="34"/>
      <c r="BU107" s="5"/>
      <c r="BV107" s="5"/>
      <c r="BW107" s="5"/>
      <c r="BX107" s="5"/>
      <c r="BY107" s="5"/>
      <c r="BZ107" s="5"/>
      <c r="CA107" s="5"/>
      <c r="CB107" s="5"/>
      <c r="CC107" s="5"/>
      <c r="CD107" s="5"/>
      <c r="CE107" s="5"/>
      <c r="CF107" s="5"/>
      <c r="CG107" s="5"/>
      <c r="CH107" s="5"/>
      <c r="CI107" s="5"/>
      <c r="CJ107" s="5"/>
      <c r="CK107" s="5"/>
      <c r="CL107" s="5"/>
    </row>
    <row r="108" spans="1:90" ht="10.35" hidden="1" customHeight="1" x14ac:dyDescent="0.15">
      <c r="A108" s="4"/>
      <c r="B108" s="35"/>
      <c r="C108" s="35"/>
      <c r="D108" s="11"/>
      <c r="E108" s="35"/>
      <c r="F108" s="35"/>
      <c r="G108" s="35"/>
      <c r="H108" s="11"/>
      <c r="I108" s="30"/>
      <c r="J108" s="30"/>
      <c r="K108" s="30"/>
      <c r="L108" s="30"/>
      <c r="M108" s="30"/>
      <c r="N108" s="30"/>
      <c r="O108" s="30"/>
      <c r="P108" s="11"/>
      <c r="Q108" s="6"/>
      <c r="R108" s="11"/>
      <c r="S108" s="16"/>
      <c r="T108" s="11"/>
      <c r="U108" s="4"/>
      <c r="V108" s="11"/>
      <c r="W108" s="11"/>
      <c r="X108" s="11"/>
      <c r="Y108" s="11"/>
      <c r="Z108" s="11"/>
      <c r="AA108" s="11"/>
      <c r="AB108" s="11"/>
      <c r="AC108" s="11"/>
      <c r="AD108" s="11"/>
      <c r="AE108" s="68"/>
      <c r="AF108" s="31"/>
      <c r="AG108" s="32"/>
      <c r="AH108" s="32"/>
      <c r="AI108" s="31"/>
      <c r="AJ108" s="31"/>
      <c r="AK108" s="33"/>
      <c r="AL108" s="33"/>
      <c r="AM108" s="33"/>
      <c r="AN108" s="33"/>
      <c r="AO108" s="33"/>
      <c r="AP108" s="33"/>
      <c r="AQ108" s="33"/>
      <c r="AR108" s="33"/>
      <c r="AS108" s="33"/>
      <c r="AT108" s="33"/>
      <c r="AU108" s="33"/>
      <c r="AV108" s="33"/>
      <c r="AW108" s="33"/>
      <c r="AX108" s="33"/>
      <c r="AY108" s="33"/>
      <c r="AZ108" s="33"/>
      <c r="BA108" s="33"/>
      <c r="BB108" s="33"/>
      <c r="BC108" s="34"/>
      <c r="BD108" s="34"/>
      <c r="BE108" s="34"/>
      <c r="BF108" s="34"/>
      <c r="BG108" s="34"/>
      <c r="BH108" s="34"/>
      <c r="BI108" s="34"/>
      <c r="BJ108" s="34"/>
      <c r="BK108" s="34"/>
      <c r="BL108" s="34"/>
      <c r="BM108" s="34"/>
      <c r="BN108" s="34"/>
      <c r="BO108" s="34"/>
      <c r="BP108" s="34"/>
      <c r="BQ108" s="34"/>
      <c r="BR108" s="34"/>
      <c r="BS108" s="34"/>
      <c r="BT108" s="34"/>
      <c r="BU108" s="5"/>
      <c r="BV108" s="5"/>
      <c r="BW108" s="5"/>
      <c r="BX108" s="5"/>
      <c r="BY108" s="5"/>
      <c r="BZ108" s="5"/>
      <c r="CA108" s="5"/>
      <c r="CB108" s="5"/>
      <c r="CC108" s="5"/>
      <c r="CD108" s="5"/>
      <c r="CE108" s="5"/>
      <c r="CF108" s="5"/>
      <c r="CG108" s="5"/>
      <c r="CH108" s="5"/>
      <c r="CI108" s="5"/>
      <c r="CJ108" s="5"/>
      <c r="CK108" s="5"/>
      <c r="CL108" s="5"/>
    </row>
    <row r="109" spans="1:90" ht="10.35" hidden="1" customHeight="1" x14ac:dyDescent="0.15">
      <c r="A109" s="4"/>
      <c r="B109" s="35"/>
      <c r="C109" s="35"/>
      <c r="D109" s="11"/>
      <c r="E109" s="35"/>
      <c r="F109" s="35"/>
      <c r="G109" s="35"/>
      <c r="H109" s="11"/>
      <c r="I109" s="30"/>
      <c r="J109" s="30"/>
      <c r="K109" s="30"/>
      <c r="L109" s="30"/>
      <c r="M109" s="30"/>
      <c r="N109" s="30"/>
      <c r="O109" s="30"/>
      <c r="P109" s="11"/>
      <c r="Q109" s="6"/>
      <c r="R109" s="11"/>
      <c r="S109" s="16"/>
      <c r="T109" s="11"/>
      <c r="U109" s="4"/>
      <c r="V109" s="11"/>
      <c r="W109" s="11"/>
      <c r="X109" s="11"/>
      <c r="Y109" s="11"/>
      <c r="Z109" s="11"/>
      <c r="AA109" s="11"/>
      <c r="AB109" s="11"/>
      <c r="AC109" s="11"/>
      <c r="AD109" s="11"/>
      <c r="AE109" s="68"/>
      <c r="AF109" s="31"/>
      <c r="AG109" s="32"/>
      <c r="AH109" s="32"/>
      <c r="AI109" s="31"/>
      <c r="AJ109" s="31"/>
      <c r="AK109" s="33"/>
      <c r="AL109" s="33"/>
      <c r="AM109" s="33"/>
      <c r="AN109" s="33"/>
      <c r="AO109" s="33"/>
      <c r="AP109" s="33"/>
      <c r="AQ109" s="33"/>
      <c r="AR109" s="33"/>
      <c r="AS109" s="33"/>
      <c r="AT109" s="33"/>
      <c r="AU109" s="33"/>
      <c r="AV109" s="33"/>
      <c r="AW109" s="33"/>
      <c r="AX109" s="33"/>
      <c r="AY109" s="33"/>
      <c r="AZ109" s="33"/>
      <c r="BA109" s="33"/>
      <c r="BB109" s="33"/>
      <c r="BC109" s="34"/>
      <c r="BD109" s="34"/>
      <c r="BE109" s="34"/>
      <c r="BF109" s="34"/>
      <c r="BG109" s="34"/>
      <c r="BH109" s="34"/>
      <c r="BI109" s="34"/>
      <c r="BJ109" s="34"/>
      <c r="BK109" s="34"/>
      <c r="BL109" s="34"/>
      <c r="BM109" s="34"/>
      <c r="BN109" s="34"/>
      <c r="BO109" s="34"/>
      <c r="BP109" s="34"/>
      <c r="BQ109" s="34"/>
      <c r="BR109" s="34"/>
      <c r="BS109" s="34"/>
      <c r="BT109" s="34"/>
      <c r="BU109" s="5"/>
      <c r="BV109" s="5"/>
      <c r="BW109" s="5"/>
      <c r="BX109" s="5"/>
      <c r="BY109" s="5"/>
      <c r="BZ109" s="5"/>
      <c r="CA109" s="5"/>
      <c r="CB109" s="5"/>
      <c r="CC109" s="5"/>
      <c r="CD109" s="5"/>
      <c r="CE109" s="5"/>
      <c r="CF109" s="5"/>
      <c r="CG109" s="5"/>
      <c r="CH109" s="5"/>
      <c r="CI109" s="5"/>
      <c r="CJ109" s="5"/>
      <c r="CK109" s="5"/>
      <c r="CL109" s="5"/>
    </row>
    <row r="110" spans="1:90" ht="10.35" hidden="1" customHeight="1" x14ac:dyDescent="0.15">
      <c r="A110" s="35"/>
      <c r="B110" s="35"/>
      <c r="C110" s="35"/>
      <c r="D110" s="11"/>
      <c r="E110" s="35"/>
      <c r="F110" s="35"/>
      <c r="G110" s="35"/>
      <c r="H110" s="11"/>
      <c r="I110" s="30"/>
      <c r="J110" s="30"/>
      <c r="K110" s="30"/>
      <c r="L110" s="30"/>
      <c r="M110" s="30"/>
      <c r="N110" s="30"/>
      <c r="O110" s="30"/>
      <c r="P110" s="6"/>
      <c r="Q110" s="6"/>
      <c r="R110" s="6"/>
      <c r="S110" s="16"/>
      <c r="T110" s="9"/>
      <c r="U110" s="7"/>
      <c r="V110" s="8"/>
      <c r="W110" s="8"/>
      <c r="X110" s="8"/>
      <c r="Y110" s="8"/>
      <c r="Z110" s="8"/>
      <c r="AA110" s="8"/>
      <c r="AB110" s="8"/>
      <c r="AC110" s="8"/>
      <c r="AD110" s="8"/>
      <c r="AE110" s="68"/>
      <c r="AF110" s="31"/>
      <c r="AG110" s="32"/>
      <c r="AH110" s="32"/>
      <c r="AI110" s="31"/>
      <c r="AJ110" s="31"/>
      <c r="AK110" s="33"/>
      <c r="AL110" s="33"/>
      <c r="AM110" s="33"/>
      <c r="AN110" s="33"/>
      <c r="AO110" s="33"/>
      <c r="AP110" s="33"/>
      <c r="AQ110" s="33"/>
      <c r="AR110" s="33"/>
      <c r="AS110" s="33"/>
      <c r="AT110" s="33"/>
      <c r="AU110" s="33"/>
      <c r="AV110" s="33"/>
      <c r="AW110" s="33"/>
      <c r="AX110" s="33"/>
      <c r="AY110" s="33"/>
      <c r="AZ110" s="33"/>
      <c r="BA110" s="33"/>
      <c r="BB110" s="33"/>
      <c r="BC110" s="34"/>
      <c r="BD110" s="34"/>
      <c r="BE110" s="34"/>
      <c r="BF110" s="34"/>
      <c r="BG110" s="34"/>
      <c r="BH110" s="34"/>
      <c r="BI110" s="34"/>
      <c r="BJ110" s="34"/>
      <c r="BK110" s="34"/>
      <c r="BL110" s="34"/>
      <c r="BM110" s="34"/>
      <c r="BN110" s="34"/>
      <c r="BO110" s="34"/>
      <c r="BP110" s="34"/>
      <c r="BQ110" s="34"/>
      <c r="BR110" s="34"/>
      <c r="BS110" s="34"/>
      <c r="BT110" s="34"/>
      <c r="BU110" s="5"/>
      <c r="BV110" s="5"/>
      <c r="BW110" s="5"/>
      <c r="BX110" s="5"/>
      <c r="BY110" s="5"/>
      <c r="BZ110" s="5"/>
      <c r="CA110" s="5"/>
      <c r="CB110" s="5"/>
      <c r="CC110" s="5"/>
      <c r="CD110" s="5"/>
      <c r="CE110" s="5"/>
      <c r="CF110" s="5"/>
      <c r="CG110" s="5"/>
      <c r="CH110" s="5"/>
      <c r="CI110" s="5"/>
      <c r="CJ110" s="5"/>
      <c r="CK110" s="5"/>
      <c r="CL110" s="5"/>
    </row>
    <row r="111" spans="1:90" ht="10.35" hidden="1" customHeight="1" x14ac:dyDescent="0.15">
      <c r="A111" s="35"/>
      <c r="B111" s="35"/>
      <c r="C111" s="35"/>
      <c r="D111" s="11"/>
      <c r="E111" s="35"/>
      <c r="F111" s="35"/>
      <c r="G111" s="35"/>
      <c r="H111" s="11"/>
      <c r="I111" s="30"/>
      <c r="J111" s="30"/>
      <c r="K111" s="30"/>
      <c r="L111" s="30"/>
      <c r="M111" s="30"/>
      <c r="N111" s="30"/>
      <c r="O111" s="30"/>
      <c r="P111" s="6"/>
      <c r="Q111" s="6"/>
      <c r="R111" s="6"/>
      <c r="S111" s="16"/>
      <c r="T111" s="9"/>
      <c r="U111" s="7"/>
      <c r="V111" s="8"/>
      <c r="W111" s="8"/>
      <c r="X111" s="8"/>
      <c r="Y111" s="8"/>
      <c r="Z111" s="8"/>
      <c r="AA111" s="8"/>
      <c r="AB111" s="8"/>
      <c r="AC111" s="8"/>
      <c r="AD111" s="8"/>
      <c r="AE111" s="68"/>
      <c r="AF111" s="31"/>
      <c r="AG111" s="32"/>
      <c r="AH111" s="32"/>
      <c r="AI111" s="31"/>
      <c r="AJ111" s="31"/>
      <c r="AK111" s="33"/>
      <c r="AL111" s="33"/>
      <c r="AM111" s="33"/>
      <c r="AN111" s="33"/>
      <c r="AO111" s="33"/>
      <c r="AP111" s="33"/>
      <c r="AQ111" s="33"/>
      <c r="AR111" s="33"/>
      <c r="AS111" s="33"/>
      <c r="AT111" s="33"/>
      <c r="AU111" s="33"/>
      <c r="AV111" s="33"/>
      <c r="AW111" s="33"/>
      <c r="AX111" s="33"/>
      <c r="AY111" s="33"/>
      <c r="AZ111" s="33"/>
      <c r="BA111" s="33"/>
      <c r="BB111" s="33"/>
      <c r="BC111" s="34"/>
      <c r="BD111" s="34"/>
      <c r="BE111" s="34"/>
      <c r="BF111" s="34"/>
      <c r="BG111" s="34"/>
      <c r="BH111" s="34"/>
      <c r="BI111" s="34"/>
      <c r="BJ111" s="34"/>
      <c r="BK111" s="34"/>
      <c r="BL111" s="34"/>
      <c r="BM111" s="34"/>
      <c r="BN111" s="34"/>
      <c r="BO111" s="34"/>
      <c r="BP111" s="34"/>
      <c r="BQ111" s="34"/>
      <c r="BR111" s="34"/>
      <c r="BS111" s="34"/>
      <c r="BT111" s="34"/>
      <c r="BU111" s="5"/>
      <c r="BV111" s="5"/>
      <c r="BW111" s="5"/>
      <c r="BX111" s="5"/>
      <c r="BY111" s="5"/>
      <c r="BZ111" s="5"/>
      <c r="CA111" s="5"/>
      <c r="CB111" s="5"/>
      <c r="CC111" s="5"/>
      <c r="CD111" s="5"/>
      <c r="CE111" s="5"/>
      <c r="CF111" s="5"/>
      <c r="CG111" s="5"/>
      <c r="CH111" s="5"/>
      <c r="CI111" s="5"/>
      <c r="CJ111" s="5"/>
      <c r="CK111" s="5"/>
      <c r="CL111" s="5"/>
    </row>
    <row r="112" spans="1:90" ht="10.35" hidden="1" customHeight="1" x14ac:dyDescent="0.15">
      <c r="A112" s="35"/>
      <c r="B112" s="35"/>
      <c r="C112" s="35"/>
      <c r="D112" s="11"/>
      <c r="E112" s="35"/>
      <c r="F112" s="35"/>
      <c r="G112" s="35"/>
      <c r="H112" s="11"/>
      <c r="I112" s="30"/>
      <c r="J112" s="30"/>
      <c r="K112" s="30"/>
      <c r="L112" s="30"/>
      <c r="M112" s="30"/>
      <c r="N112" s="30"/>
      <c r="O112" s="30"/>
      <c r="P112" s="6"/>
      <c r="Q112" s="6"/>
      <c r="R112" s="6"/>
      <c r="S112" s="16"/>
      <c r="T112" s="9"/>
      <c r="U112" s="7"/>
      <c r="V112" s="8"/>
      <c r="W112" s="8"/>
      <c r="X112" s="8"/>
      <c r="Y112" s="8"/>
      <c r="Z112" s="8"/>
      <c r="AA112" s="8"/>
      <c r="AB112" s="8"/>
      <c r="AC112" s="8"/>
      <c r="AD112" s="8"/>
      <c r="AE112" s="68"/>
      <c r="AF112" s="31"/>
      <c r="AG112" s="32"/>
      <c r="AH112" s="32"/>
      <c r="AI112" s="31"/>
      <c r="AJ112" s="31"/>
      <c r="AK112" s="33"/>
      <c r="AL112" s="33"/>
      <c r="AM112" s="33"/>
      <c r="AN112" s="33"/>
      <c r="AO112" s="33"/>
      <c r="AP112" s="33"/>
      <c r="AQ112" s="33"/>
      <c r="AR112" s="33"/>
      <c r="AS112" s="33"/>
      <c r="AT112" s="33"/>
      <c r="AU112" s="33"/>
      <c r="AV112" s="33"/>
      <c r="AW112" s="33"/>
      <c r="AX112" s="33"/>
      <c r="AY112" s="33"/>
      <c r="AZ112" s="33"/>
      <c r="BA112" s="33"/>
      <c r="BB112" s="33"/>
      <c r="BC112" s="34"/>
      <c r="BD112" s="34"/>
      <c r="BE112" s="34"/>
      <c r="BF112" s="34"/>
      <c r="BG112" s="34"/>
      <c r="BH112" s="34"/>
      <c r="BI112" s="34"/>
      <c r="BJ112" s="34"/>
      <c r="BK112" s="34"/>
      <c r="BL112" s="34"/>
      <c r="BM112" s="34"/>
      <c r="BN112" s="34"/>
      <c r="BO112" s="34"/>
      <c r="BP112" s="34"/>
      <c r="BQ112" s="34"/>
      <c r="BR112" s="34"/>
      <c r="BS112" s="34"/>
      <c r="BT112" s="34"/>
      <c r="BU112" s="5"/>
      <c r="BV112" s="5"/>
      <c r="BW112" s="5"/>
      <c r="BX112" s="5"/>
      <c r="BY112" s="5"/>
      <c r="BZ112" s="5"/>
      <c r="CA112" s="5"/>
      <c r="CB112" s="5"/>
      <c r="CC112" s="5"/>
      <c r="CD112" s="5"/>
      <c r="CE112" s="5"/>
      <c r="CF112" s="5"/>
      <c r="CG112" s="5"/>
      <c r="CH112" s="5"/>
      <c r="CI112" s="5"/>
      <c r="CJ112" s="5"/>
      <c r="CK112" s="5"/>
      <c r="CL112" s="5"/>
    </row>
    <row r="113" spans="1:90" ht="10.35" hidden="1" customHeight="1" x14ac:dyDescent="0.15">
      <c r="A113" s="35"/>
      <c r="B113" s="35"/>
      <c r="C113" s="35"/>
      <c r="D113" s="11"/>
      <c r="E113" s="35"/>
      <c r="F113" s="35"/>
      <c r="G113" s="35"/>
      <c r="H113" s="11"/>
      <c r="I113" s="30"/>
      <c r="J113" s="30"/>
      <c r="K113" s="30"/>
      <c r="L113" s="30"/>
      <c r="M113" s="30"/>
      <c r="N113" s="30"/>
      <c r="O113" s="30"/>
      <c r="P113" s="6"/>
      <c r="Q113" s="6"/>
      <c r="R113" s="6"/>
      <c r="S113" s="16"/>
      <c r="T113" s="9"/>
      <c r="U113" s="7"/>
      <c r="V113" s="8"/>
      <c r="W113" s="8"/>
      <c r="X113" s="8"/>
      <c r="Y113" s="8"/>
      <c r="Z113" s="8"/>
      <c r="AA113" s="8"/>
      <c r="AB113" s="8"/>
      <c r="AC113" s="8"/>
      <c r="AD113" s="8"/>
      <c r="AE113" s="68"/>
      <c r="AF113" s="31"/>
      <c r="AG113" s="32"/>
      <c r="AH113" s="32"/>
      <c r="AI113" s="31"/>
      <c r="AJ113" s="31"/>
      <c r="AK113" s="33"/>
      <c r="AL113" s="33"/>
      <c r="AM113" s="33"/>
      <c r="AN113" s="33"/>
      <c r="AO113" s="33"/>
      <c r="AP113" s="33"/>
      <c r="AQ113" s="33"/>
      <c r="AR113" s="33"/>
      <c r="AS113" s="33"/>
      <c r="AT113" s="33"/>
      <c r="AU113" s="33"/>
      <c r="AV113" s="33"/>
      <c r="AW113" s="33"/>
      <c r="AX113" s="33"/>
      <c r="AY113" s="33"/>
      <c r="AZ113" s="33"/>
      <c r="BA113" s="33"/>
      <c r="BB113" s="33"/>
      <c r="BC113" s="34"/>
      <c r="BD113" s="34"/>
      <c r="BE113" s="34"/>
      <c r="BF113" s="34"/>
      <c r="BG113" s="34"/>
      <c r="BH113" s="34"/>
      <c r="BI113" s="34"/>
      <c r="BJ113" s="34"/>
      <c r="BK113" s="34"/>
      <c r="BL113" s="34"/>
      <c r="BM113" s="34"/>
      <c r="BN113" s="34"/>
      <c r="BO113" s="34"/>
      <c r="BP113" s="34"/>
      <c r="BQ113" s="34"/>
      <c r="BR113" s="34"/>
      <c r="BS113" s="34"/>
      <c r="BT113" s="34"/>
      <c r="BU113" s="5"/>
      <c r="BV113" s="5"/>
      <c r="BW113" s="5"/>
      <c r="BX113" s="5"/>
      <c r="BY113" s="5"/>
      <c r="BZ113" s="5"/>
      <c r="CA113" s="5"/>
      <c r="CB113" s="5"/>
      <c r="CC113" s="5"/>
      <c r="CD113" s="5"/>
      <c r="CE113" s="5"/>
      <c r="CF113" s="5"/>
      <c r="CG113" s="5"/>
      <c r="CH113" s="5"/>
      <c r="CI113" s="5"/>
      <c r="CJ113" s="5"/>
      <c r="CK113" s="5"/>
      <c r="CL113" s="5"/>
    </row>
    <row r="114" spans="1:90" ht="10.35" hidden="1" customHeight="1" x14ac:dyDescent="0.15">
      <c r="A114" s="35"/>
      <c r="B114" s="35"/>
      <c r="C114" s="35"/>
      <c r="D114" s="11"/>
      <c r="E114" s="35"/>
      <c r="F114" s="35"/>
      <c r="G114" s="35"/>
      <c r="H114" s="11"/>
      <c r="I114" s="30"/>
      <c r="J114" s="30"/>
      <c r="K114" s="30"/>
      <c r="L114" s="30"/>
      <c r="M114" s="30"/>
      <c r="N114" s="30"/>
      <c r="O114" s="30"/>
      <c r="P114" s="6"/>
      <c r="Q114" s="6"/>
      <c r="R114" s="6"/>
      <c r="S114" s="16"/>
      <c r="T114" s="9"/>
      <c r="U114" s="7"/>
      <c r="V114" s="8"/>
      <c r="W114" s="8"/>
      <c r="X114" s="8"/>
      <c r="Y114" s="8"/>
      <c r="Z114" s="8"/>
      <c r="AA114" s="8"/>
      <c r="AB114" s="8"/>
      <c r="AC114" s="8"/>
      <c r="AD114" s="8"/>
      <c r="AE114" s="68"/>
      <c r="AF114" s="31"/>
      <c r="AG114" s="32"/>
      <c r="AH114" s="32"/>
      <c r="AI114" s="31"/>
      <c r="AJ114" s="31"/>
      <c r="AK114" s="33"/>
      <c r="AL114" s="33"/>
      <c r="AM114" s="33"/>
      <c r="AN114" s="33"/>
      <c r="AO114" s="33"/>
      <c r="AP114" s="33"/>
      <c r="AQ114" s="33"/>
      <c r="AR114" s="33"/>
      <c r="AS114" s="33"/>
      <c r="AT114" s="33"/>
      <c r="AU114" s="33"/>
      <c r="AV114" s="33"/>
      <c r="AW114" s="33"/>
      <c r="AX114" s="33"/>
      <c r="AY114" s="33"/>
      <c r="AZ114" s="33"/>
      <c r="BA114" s="33"/>
      <c r="BB114" s="33"/>
      <c r="BC114" s="34"/>
      <c r="BD114" s="34"/>
      <c r="BE114" s="34"/>
      <c r="BF114" s="34"/>
      <c r="BG114" s="34"/>
      <c r="BH114" s="34"/>
      <c r="BI114" s="34"/>
      <c r="BJ114" s="34"/>
      <c r="BK114" s="34"/>
      <c r="BL114" s="34"/>
      <c r="BM114" s="34"/>
      <c r="BN114" s="34"/>
      <c r="BO114" s="34"/>
      <c r="BP114" s="34"/>
      <c r="BQ114" s="34"/>
      <c r="BR114" s="34"/>
      <c r="BS114" s="34"/>
      <c r="BT114" s="34"/>
      <c r="BU114" s="5"/>
      <c r="BV114" s="5"/>
      <c r="BW114" s="5"/>
      <c r="BX114" s="5"/>
      <c r="BY114" s="5"/>
      <c r="BZ114" s="5"/>
      <c r="CA114" s="5"/>
      <c r="CB114" s="5"/>
      <c r="CC114" s="5"/>
      <c r="CD114" s="5"/>
      <c r="CE114" s="5"/>
      <c r="CF114" s="5"/>
      <c r="CG114" s="5"/>
      <c r="CH114" s="5"/>
      <c r="CI114" s="5"/>
      <c r="CJ114" s="5"/>
      <c r="CK114" s="5"/>
      <c r="CL114" s="5"/>
    </row>
    <row r="115" spans="1:90" ht="10.35" hidden="1" customHeight="1" x14ac:dyDescent="0.15">
      <c r="A115" s="35"/>
      <c r="B115" s="35"/>
      <c r="C115" s="35"/>
      <c r="D115" s="11"/>
      <c r="E115" s="35"/>
      <c r="F115" s="35"/>
      <c r="G115" s="35"/>
      <c r="H115" s="11"/>
      <c r="I115" s="30"/>
      <c r="J115" s="30"/>
      <c r="K115" s="30"/>
      <c r="L115" s="30"/>
      <c r="M115" s="30"/>
      <c r="N115" s="30"/>
      <c r="O115" s="30"/>
      <c r="P115" s="6"/>
      <c r="Q115" s="6"/>
      <c r="R115" s="6"/>
      <c r="S115" s="16"/>
      <c r="T115" s="9"/>
      <c r="U115" s="7"/>
      <c r="V115" s="8"/>
      <c r="W115" s="8"/>
      <c r="X115" s="8"/>
      <c r="Y115" s="8"/>
      <c r="Z115" s="8"/>
      <c r="AA115" s="8"/>
      <c r="AB115" s="8"/>
      <c r="AC115" s="8"/>
      <c r="AD115" s="8"/>
      <c r="AE115" s="68"/>
      <c r="AF115" s="31"/>
      <c r="AG115" s="32"/>
      <c r="AH115" s="32"/>
      <c r="AI115" s="31"/>
      <c r="AJ115" s="31"/>
      <c r="AK115" s="33"/>
      <c r="AL115" s="33"/>
      <c r="AM115" s="33"/>
      <c r="AN115" s="33"/>
      <c r="AO115" s="33"/>
      <c r="AP115" s="33"/>
      <c r="AQ115" s="33"/>
      <c r="AR115" s="33"/>
      <c r="AS115" s="33"/>
      <c r="AT115" s="33"/>
      <c r="AU115" s="33"/>
      <c r="AV115" s="33"/>
      <c r="AW115" s="33"/>
      <c r="AX115" s="33"/>
      <c r="AY115" s="33"/>
      <c r="AZ115" s="33"/>
      <c r="BA115" s="33"/>
      <c r="BB115" s="33"/>
      <c r="BC115" s="34"/>
      <c r="BD115" s="34"/>
      <c r="BE115" s="34"/>
      <c r="BF115" s="34"/>
      <c r="BG115" s="34"/>
      <c r="BH115" s="34"/>
      <c r="BI115" s="34"/>
      <c r="BJ115" s="34"/>
      <c r="BK115" s="34"/>
      <c r="BL115" s="34"/>
      <c r="BM115" s="34"/>
      <c r="BN115" s="34"/>
      <c r="BO115" s="34"/>
      <c r="BP115" s="34"/>
      <c r="BQ115" s="34"/>
      <c r="BR115" s="34"/>
      <c r="BS115" s="34"/>
      <c r="BT115" s="34"/>
      <c r="BU115" s="5"/>
      <c r="BV115" s="5"/>
      <c r="BW115" s="5"/>
      <c r="BX115" s="5"/>
      <c r="BY115" s="5"/>
      <c r="BZ115" s="5"/>
      <c r="CA115" s="5"/>
      <c r="CB115" s="5"/>
      <c r="CC115" s="5"/>
      <c r="CD115" s="5"/>
      <c r="CE115" s="5"/>
      <c r="CF115" s="5"/>
      <c r="CG115" s="5"/>
      <c r="CH115" s="5"/>
      <c r="CI115" s="5"/>
      <c r="CJ115" s="5"/>
      <c r="CK115" s="5"/>
      <c r="CL115" s="5"/>
    </row>
    <row r="116" spans="1:90" ht="10.35" hidden="1" customHeight="1" x14ac:dyDescent="0.15">
      <c r="A116" s="35"/>
      <c r="B116" s="35"/>
      <c r="C116" s="35"/>
      <c r="D116" s="11"/>
      <c r="E116" s="35"/>
      <c r="F116" s="35"/>
      <c r="G116" s="35"/>
      <c r="H116" s="11"/>
      <c r="I116" s="30"/>
      <c r="J116" s="30"/>
      <c r="K116" s="30"/>
      <c r="L116" s="30"/>
      <c r="M116" s="30"/>
      <c r="N116" s="30"/>
      <c r="O116" s="30"/>
      <c r="P116" s="6"/>
      <c r="Q116" s="6"/>
      <c r="R116" s="6"/>
      <c r="S116" s="16"/>
      <c r="T116" s="9"/>
      <c r="U116" s="7"/>
      <c r="V116" s="8"/>
      <c r="W116" s="8"/>
      <c r="X116" s="8"/>
      <c r="Y116" s="8"/>
      <c r="Z116" s="8"/>
      <c r="AA116" s="8"/>
      <c r="AB116" s="8"/>
      <c r="AC116" s="8"/>
      <c r="AD116" s="8"/>
      <c r="AE116" s="68"/>
      <c r="AF116" s="31"/>
      <c r="AG116" s="32"/>
      <c r="AH116" s="32"/>
      <c r="AI116" s="31"/>
      <c r="AJ116" s="31"/>
      <c r="AK116" s="33"/>
      <c r="AL116" s="33"/>
      <c r="AM116" s="33"/>
      <c r="AN116" s="33"/>
      <c r="AO116" s="33"/>
      <c r="AP116" s="33"/>
      <c r="AQ116" s="33"/>
      <c r="AR116" s="33"/>
      <c r="AS116" s="33"/>
      <c r="AT116" s="33"/>
      <c r="AU116" s="33"/>
      <c r="AV116" s="33"/>
      <c r="AW116" s="33"/>
      <c r="AX116" s="33"/>
      <c r="AY116" s="33"/>
      <c r="AZ116" s="33"/>
      <c r="BA116" s="33"/>
      <c r="BB116" s="33"/>
      <c r="BC116" s="34"/>
      <c r="BD116" s="34"/>
      <c r="BE116" s="34"/>
      <c r="BF116" s="34"/>
      <c r="BG116" s="34"/>
      <c r="BH116" s="34"/>
      <c r="BI116" s="34"/>
      <c r="BJ116" s="34"/>
      <c r="BK116" s="34"/>
      <c r="BL116" s="34"/>
      <c r="BM116" s="34"/>
      <c r="BN116" s="34"/>
      <c r="BO116" s="34"/>
      <c r="BP116" s="34"/>
      <c r="BQ116" s="34"/>
      <c r="BR116" s="34"/>
      <c r="BS116" s="34"/>
      <c r="BT116" s="34"/>
      <c r="BU116" s="5"/>
      <c r="BV116" s="5"/>
      <c r="BW116" s="5"/>
      <c r="BX116" s="5"/>
      <c r="BY116" s="5"/>
      <c r="BZ116" s="5"/>
      <c r="CA116" s="5"/>
      <c r="CB116" s="5"/>
      <c r="CC116" s="5"/>
      <c r="CD116" s="5"/>
      <c r="CE116" s="5"/>
      <c r="CF116" s="5"/>
      <c r="CG116" s="5"/>
      <c r="CH116" s="5"/>
      <c r="CI116" s="5"/>
      <c r="CJ116" s="5"/>
      <c r="CK116" s="5"/>
      <c r="CL116" s="5"/>
    </row>
    <row r="117" spans="1:90" ht="10.35" hidden="1" customHeight="1" x14ac:dyDescent="0.15">
      <c r="A117" s="35"/>
      <c r="B117" s="35"/>
      <c r="C117" s="35"/>
      <c r="D117" s="11"/>
      <c r="E117" s="35"/>
      <c r="F117" s="35"/>
      <c r="G117" s="35"/>
      <c r="H117" s="11"/>
      <c r="I117" s="30"/>
      <c r="J117" s="30"/>
      <c r="K117" s="30"/>
      <c r="L117" s="30"/>
      <c r="M117" s="30"/>
      <c r="N117" s="30"/>
      <c r="O117" s="30"/>
      <c r="P117" s="6"/>
      <c r="Q117" s="6"/>
      <c r="R117" s="6"/>
      <c r="S117" s="16"/>
      <c r="T117" s="9"/>
      <c r="U117" s="7"/>
      <c r="V117" s="8"/>
      <c r="W117" s="8"/>
      <c r="X117" s="8"/>
      <c r="Y117" s="8"/>
      <c r="Z117" s="8"/>
      <c r="AA117" s="8"/>
      <c r="AB117" s="8"/>
      <c r="AC117" s="8"/>
      <c r="AD117" s="8"/>
      <c r="AE117" s="68"/>
      <c r="AF117" s="31"/>
      <c r="AG117" s="32"/>
      <c r="AH117" s="32"/>
      <c r="AI117" s="31"/>
      <c r="AJ117" s="31"/>
      <c r="AK117" s="33"/>
      <c r="AL117" s="33"/>
      <c r="AM117" s="33"/>
      <c r="AN117" s="33"/>
      <c r="AO117" s="33"/>
      <c r="AP117" s="33"/>
      <c r="AQ117" s="33"/>
      <c r="AR117" s="33"/>
      <c r="AS117" s="33"/>
      <c r="AT117" s="33"/>
      <c r="AU117" s="33"/>
      <c r="AV117" s="33"/>
      <c r="AW117" s="33"/>
      <c r="AX117" s="33"/>
      <c r="AY117" s="33"/>
      <c r="AZ117" s="33"/>
      <c r="BA117" s="33"/>
      <c r="BB117" s="33"/>
      <c r="BC117" s="34"/>
      <c r="BD117" s="34"/>
      <c r="BE117" s="34"/>
      <c r="BF117" s="34"/>
      <c r="BG117" s="34"/>
      <c r="BH117" s="34"/>
      <c r="BI117" s="34"/>
      <c r="BJ117" s="34"/>
      <c r="BK117" s="34"/>
      <c r="BL117" s="34"/>
      <c r="BM117" s="34"/>
      <c r="BN117" s="34"/>
      <c r="BO117" s="34"/>
      <c r="BP117" s="34"/>
      <c r="BQ117" s="34"/>
      <c r="BR117" s="34"/>
      <c r="BS117" s="34"/>
      <c r="BT117" s="34"/>
      <c r="BU117" s="5"/>
      <c r="BV117" s="5"/>
      <c r="BW117" s="5"/>
      <c r="BX117" s="5"/>
      <c r="BY117" s="5"/>
      <c r="BZ117" s="5"/>
      <c r="CA117" s="5"/>
      <c r="CB117" s="5"/>
      <c r="CC117" s="5"/>
      <c r="CD117" s="5"/>
      <c r="CE117" s="5"/>
      <c r="CF117" s="5"/>
      <c r="CG117" s="5"/>
      <c r="CH117" s="5"/>
      <c r="CI117" s="5"/>
      <c r="CJ117" s="5"/>
      <c r="CK117" s="5"/>
      <c r="CL117" s="5"/>
    </row>
    <row r="118" spans="1:90" ht="10.35" hidden="1" customHeight="1" x14ac:dyDescent="0.15">
      <c r="A118" s="35"/>
      <c r="B118" s="35"/>
      <c r="C118" s="35"/>
      <c r="D118" s="11"/>
      <c r="E118" s="35"/>
      <c r="F118" s="35"/>
      <c r="G118" s="35"/>
      <c r="H118" s="11"/>
      <c r="I118" s="30"/>
      <c r="J118" s="30"/>
      <c r="K118" s="30"/>
      <c r="L118" s="30"/>
      <c r="M118" s="30"/>
      <c r="N118" s="30"/>
      <c r="O118" s="30"/>
      <c r="P118" s="6"/>
      <c r="Q118" s="6"/>
      <c r="R118" s="6"/>
      <c r="S118" s="16"/>
      <c r="T118" s="9"/>
      <c r="U118" s="7"/>
      <c r="V118" s="8"/>
      <c r="W118" s="8"/>
      <c r="X118" s="8"/>
      <c r="Y118" s="8"/>
      <c r="Z118" s="8"/>
      <c r="AA118" s="8"/>
      <c r="AB118" s="8"/>
      <c r="AC118" s="8"/>
      <c r="AD118" s="8"/>
      <c r="AE118" s="68"/>
      <c r="AF118" s="31"/>
      <c r="AG118" s="32"/>
      <c r="AH118" s="32"/>
      <c r="AI118" s="31"/>
      <c r="AJ118" s="31"/>
      <c r="AK118" s="33"/>
      <c r="AL118" s="33"/>
      <c r="AM118" s="33"/>
      <c r="AN118" s="33"/>
      <c r="AO118" s="33"/>
      <c r="AP118" s="33"/>
      <c r="AQ118" s="33"/>
      <c r="AR118" s="33"/>
      <c r="AS118" s="33"/>
      <c r="AT118" s="33"/>
      <c r="AU118" s="33"/>
      <c r="AV118" s="33"/>
      <c r="AW118" s="33"/>
      <c r="AX118" s="33"/>
      <c r="AY118" s="33"/>
      <c r="AZ118" s="33"/>
      <c r="BA118" s="33"/>
      <c r="BB118" s="33"/>
      <c r="BC118" s="34"/>
      <c r="BD118" s="34"/>
      <c r="BE118" s="34"/>
      <c r="BF118" s="34"/>
      <c r="BG118" s="34"/>
      <c r="BH118" s="34"/>
      <c r="BI118" s="34"/>
      <c r="BJ118" s="34"/>
      <c r="BK118" s="34"/>
      <c r="BL118" s="34"/>
      <c r="BM118" s="34"/>
      <c r="BN118" s="34"/>
      <c r="BO118" s="34"/>
      <c r="BP118" s="34"/>
      <c r="BQ118" s="34"/>
      <c r="BR118" s="34"/>
      <c r="BS118" s="34"/>
      <c r="BT118" s="34"/>
      <c r="BU118" s="5"/>
      <c r="BV118" s="5"/>
      <c r="BW118" s="5"/>
      <c r="BX118" s="5"/>
      <c r="BY118" s="5"/>
      <c r="BZ118" s="5"/>
      <c r="CA118" s="5"/>
      <c r="CB118" s="5"/>
      <c r="CC118" s="5"/>
      <c r="CD118" s="5"/>
      <c r="CE118" s="5"/>
      <c r="CF118" s="5"/>
      <c r="CG118" s="5"/>
      <c r="CH118" s="5"/>
      <c r="CI118" s="5"/>
      <c r="CJ118" s="5"/>
      <c r="CK118" s="5"/>
      <c r="CL118" s="5"/>
    </row>
    <row r="119" spans="1:90" ht="10.35" hidden="1" customHeight="1" x14ac:dyDescent="0.15">
      <c r="A119" s="35"/>
      <c r="B119" s="35"/>
      <c r="C119" s="35"/>
      <c r="D119" s="11"/>
      <c r="E119" s="35"/>
      <c r="F119" s="35"/>
      <c r="G119" s="35"/>
      <c r="H119" s="11"/>
      <c r="I119" s="30"/>
      <c r="J119" s="30"/>
      <c r="K119" s="30"/>
      <c r="L119" s="30"/>
      <c r="M119" s="30"/>
      <c r="N119" s="30"/>
      <c r="O119" s="30"/>
      <c r="P119" s="6"/>
      <c r="Q119" s="6"/>
      <c r="R119" s="6"/>
      <c r="S119" s="16"/>
      <c r="T119" s="9"/>
      <c r="U119" s="7"/>
      <c r="V119" s="8"/>
      <c r="W119" s="8"/>
      <c r="X119" s="8"/>
      <c r="Y119" s="8"/>
      <c r="Z119" s="8"/>
      <c r="AA119" s="8"/>
      <c r="AB119" s="8"/>
      <c r="AC119" s="8"/>
      <c r="AD119" s="8"/>
      <c r="AE119" s="68"/>
      <c r="AF119" s="31"/>
      <c r="AG119" s="32"/>
      <c r="AH119" s="32"/>
      <c r="AI119" s="31"/>
      <c r="AJ119" s="31"/>
      <c r="AK119" s="33"/>
      <c r="AL119" s="33"/>
      <c r="AM119" s="33"/>
      <c r="AN119" s="33"/>
      <c r="AO119" s="33"/>
      <c r="AP119" s="33"/>
      <c r="AQ119" s="33"/>
      <c r="AR119" s="33"/>
      <c r="AS119" s="33"/>
      <c r="AT119" s="33"/>
      <c r="AU119" s="33"/>
      <c r="AV119" s="33"/>
      <c r="AW119" s="33"/>
      <c r="AX119" s="33"/>
      <c r="AY119" s="33"/>
      <c r="AZ119" s="33"/>
      <c r="BA119" s="33"/>
      <c r="BB119" s="33"/>
      <c r="BC119" s="34"/>
      <c r="BD119" s="34"/>
      <c r="BE119" s="34"/>
      <c r="BF119" s="34"/>
      <c r="BG119" s="34"/>
      <c r="BH119" s="34"/>
      <c r="BI119" s="34"/>
      <c r="BJ119" s="34"/>
      <c r="BK119" s="34"/>
      <c r="BL119" s="34"/>
      <c r="BM119" s="34"/>
      <c r="BN119" s="34"/>
      <c r="BO119" s="34"/>
      <c r="BP119" s="34"/>
      <c r="BQ119" s="34"/>
      <c r="BR119" s="34"/>
      <c r="BS119" s="34"/>
      <c r="BT119" s="34"/>
      <c r="BU119" s="5"/>
      <c r="BV119" s="5"/>
      <c r="BW119" s="5"/>
      <c r="BX119" s="5"/>
      <c r="BY119" s="5"/>
      <c r="BZ119" s="5"/>
      <c r="CA119" s="5"/>
      <c r="CB119" s="5"/>
      <c r="CC119" s="5"/>
      <c r="CD119" s="5"/>
      <c r="CE119" s="5"/>
      <c r="CF119" s="5"/>
      <c r="CG119" s="5"/>
      <c r="CH119" s="5"/>
      <c r="CI119" s="5"/>
      <c r="CJ119" s="5"/>
      <c r="CK119" s="5"/>
      <c r="CL119" s="5"/>
    </row>
    <row r="120" spans="1:90" ht="10.35" hidden="1" customHeight="1" x14ac:dyDescent="0.15">
      <c r="A120" s="35"/>
      <c r="B120" s="35"/>
      <c r="C120" s="35"/>
      <c r="D120" s="11"/>
      <c r="E120" s="35"/>
      <c r="F120" s="35"/>
      <c r="G120" s="35"/>
      <c r="H120" s="11"/>
      <c r="I120" s="30"/>
      <c r="J120" s="30"/>
      <c r="K120" s="30"/>
      <c r="L120" s="30"/>
      <c r="M120" s="30"/>
      <c r="N120" s="30"/>
      <c r="O120" s="30"/>
      <c r="P120" s="6"/>
      <c r="Q120" s="6"/>
      <c r="R120" s="6"/>
      <c r="S120" s="16"/>
      <c r="T120" s="9"/>
      <c r="U120" s="7"/>
      <c r="V120" s="8"/>
      <c r="W120" s="8"/>
      <c r="X120" s="8"/>
      <c r="Y120" s="8"/>
      <c r="Z120" s="8"/>
      <c r="AA120" s="8"/>
      <c r="AB120" s="8"/>
      <c r="AC120" s="8"/>
      <c r="AD120" s="8"/>
      <c r="AE120" s="68"/>
      <c r="AF120" s="31"/>
      <c r="AG120" s="32"/>
      <c r="AH120" s="32"/>
      <c r="AI120" s="31"/>
      <c r="AJ120" s="31"/>
      <c r="AK120" s="33"/>
      <c r="AL120" s="33"/>
      <c r="AM120" s="33"/>
      <c r="AN120" s="33"/>
      <c r="AO120" s="33"/>
      <c r="AP120" s="33"/>
      <c r="AQ120" s="33"/>
      <c r="AR120" s="33"/>
      <c r="AS120" s="33"/>
      <c r="AT120" s="33"/>
      <c r="AU120" s="33"/>
      <c r="AV120" s="33"/>
      <c r="AW120" s="33"/>
      <c r="AX120" s="33"/>
      <c r="AY120" s="33"/>
      <c r="AZ120" s="33"/>
      <c r="BA120" s="33"/>
      <c r="BB120" s="33"/>
      <c r="BC120" s="34"/>
      <c r="BD120" s="34"/>
      <c r="BE120" s="34"/>
      <c r="BF120" s="34"/>
      <c r="BG120" s="34"/>
      <c r="BH120" s="34"/>
      <c r="BI120" s="34"/>
      <c r="BJ120" s="34"/>
      <c r="BK120" s="34"/>
      <c r="BL120" s="34"/>
      <c r="BM120" s="34"/>
      <c r="BN120" s="34"/>
      <c r="BO120" s="34"/>
      <c r="BP120" s="34"/>
      <c r="BQ120" s="34"/>
      <c r="BR120" s="34"/>
      <c r="BS120" s="34"/>
      <c r="BT120" s="34"/>
      <c r="BU120" s="5"/>
      <c r="BV120" s="5"/>
      <c r="BW120" s="5"/>
      <c r="BX120" s="5"/>
      <c r="BY120" s="5"/>
      <c r="BZ120" s="5"/>
      <c r="CA120" s="5"/>
      <c r="CB120" s="5"/>
      <c r="CC120" s="5"/>
      <c r="CD120" s="5"/>
      <c r="CE120" s="5"/>
      <c r="CF120" s="5"/>
      <c r="CG120" s="5"/>
      <c r="CH120" s="5"/>
      <c r="CI120" s="5"/>
      <c r="CJ120" s="5"/>
      <c r="CK120" s="5"/>
      <c r="CL120" s="5"/>
    </row>
    <row r="121" spans="1:90" ht="10.35" hidden="1" customHeight="1" x14ac:dyDescent="0.15">
      <c r="A121" s="35"/>
      <c r="B121" s="35"/>
      <c r="C121" s="35"/>
      <c r="D121" s="11"/>
      <c r="E121" s="35"/>
      <c r="F121" s="35"/>
      <c r="G121" s="35"/>
      <c r="H121" s="11"/>
      <c r="I121" s="30"/>
      <c r="J121" s="30"/>
      <c r="K121" s="30"/>
      <c r="L121" s="30"/>
      <c r="M121" s="30"/>
      <c r="N121" s="30"/>
      <c r="O121" s="30"/>
      <c r="P121" s="6"/>
      <c r="Q121" s="6"/>
      <c r="R121" s="6"/>
      <c r="S121" s="16"/>
      <c r="T121" s="9"/>
      <c r="U121" s="7"/>
      <c r="V121" s="8"/>
      <c r="W121" s="8"/>
      <c r="X121" s="8"/>
      <c r="Y121" s="8"/>
      <c r="Z121" s="8"/>
      <c r="AA121" s="8"/>
      <c r="AB121" s="8"/>
      <c r="AC121" s="8"/>
      <c r="AD121" s="8"/>
      <c r="AE121" s="68"/>
      <c r="AF121" s="31"/>
      <c r="AG121" s="32"/>
      <c r="AH121" s="32"/>
      <c r="AI121" s="31"/>
      <c r="AJ121" s="31"/>
      <c r="AK121" s="33"/>
      <c r="AL121" s="33"/>
      <c r="AM121" s="33"/>
      <c r="AN121" s="33"/>
      <c r="AO121" s="33"/>
      <c r="AP121" s="33"/>
      <c r="AQ121" s="33"/>
      <c r="AR121" s="33"/>
      <c r="AS121" s="33"/>
      <c r="AT121" s="33"/>
      <c r="AU121" s="33"/>
      <c r="AV121" s="33"/>
      <c r="AW121" s="33"/>
      <c r="AX121" s="33"/>
      <c r="AY121" s="33"/>
      <c r="AZ121" s="33"/>
      <c r="BA121" s="33"/>
      <c r="BB121" s="33"/>
      <c r="BC121" s="34"/>
      <c r="BD121" s="34"/>
      <c r="BE121" s="34"/>
      <c r="BF121" s="34"/>
      <c r="BG121" s="34"/>
      <c r="BH121" s="34"/>
      <c r="BI121" s="34"/>
      <c r="BJ121" s="34"/>
      <c r="BK121" s="34"/>
      <c r="BL121" s="34"/>
      <c r="BM121" s="34"/>
      <c r="BN121" s="34"/>
      <c r="BO121" s="34"/>
      <c r="BP121" s="34"/>
      <c r="BQ121" s="34"/>
      <c r="BR121" s="34"/>
      <c r="BS121" s="34"/>
      <c r="BT121" s="34"/>
      <c r="BU121" s="5"/>
      <c r="BV121" s="5"/>
      <c r="BW121" s="5"/>
      <c r="BX121" s="5"/>
      <c r="BY121" s="5"/>
      <c r="BZ121" s="5"/>
      <c r="CA121" s="5"/>
      <c r="CB121" s="5"/>
      <c r="CC121" s="5"/>
      <c r="CD121" s="5"/>
      <c r="CE121" s="5"/>
      <c r="CF121" s="5"/>
      <c r="CG121" s="5"/>
      <c r="CH121" s="5"/>
      <c r="CI121" s="5"/>
      <c r="CJ121" s="5"/>
      <c r="CK121" s="5"/>
      <c r="CL121" s="5"/>
    </row>
    <row r="122" spans="1:90" ht="10.35" hidden="1" customHeight="1" x14ac:dyDescent="0.15">
      <c r="A122" s="35"/>
      <c r="B122" s="35"/>
      <c r="C122" s="35"/>
      <c r="D122" s="11"/>
      <c r="E122" s="35"/>
      <c r="F122" s="35"/>
      <c r="G122" s="35"/>
      <c r="H122" s="11"/>
      <c r="I122" s="30"/>
      <c r="J122" s="30"/>
      <c r="K122" s="30"/>
      <c r="L122" s="30"/>
      <c r="M122" s="30"/>
      <c r="N122" s="30"/>
      <c r="O122" s="30"/>
      <c r="P122" s="6"/>
      <c r="Q122" s="6"/>
      <c r="R122" s="6"/>
      <c r="S122" s="16"/>
      <c r="T122" s="9"/>
      <c r="U122" s="7"/>
      <c r="V122" s="8"/>
      <c r="W122" s="8"/>
      <c r="X122" s="8"/>
      <c r="Y122" s="8"/>
      <c r="Z122" s="8"/>
      <c r="AA122" s="8"/>
      <c r="AB122" s="8"/>
      <c r="AC122" s="8"/>
      <c r="AD122" s="8"/>
      <c r="AE122" s="68"/>
      <c r="AF122" s="31"/>
      <c r="AG122" s="32"/>
      <c r="AH122" s="32"/>
      <c r="AI122" s="31"/>
      <c r="AJ122" s="31"/>
      <c r="AK122" s="33"/>
      <c r="AL122" s="33"/>
      <c r="AM122" s="33"/>
      <c r="AN122" s="33"/>
      <c r="AO122" s="33"/>
      <c r="AP122" s="33"/>
      <c r="AQ122" s="33"/>
      <c r="AR122" s="33"/>
      <c r="AS122" s="33"/>
      <c r="AT122" s="33"/>
      <c r="AU122" s="33"/>
      <c r="AV122" s="33"/>
      <c r="AW122" s="33"/>
      <c r="AX122" s="33"/>
      <c r="AY122" s="33"/>
      <c r="AZ122" s="33"/>
      <c r="BA122" s="33"/>
      <c r="BB122" s="33"/>
      <c r="BC122" s="34"/>
      <c r="BD122" s="34"/>
      <c r="BE122" s="34"/>
      <c r="BF122" s="34"/>
      <c r="BG122" s="34"/>
      <c r="BH122" s="34"/>
      <c r="BI122" s="34"/>
      <c r="BJ122" s="34"/>
      <c r="BK122" s="34"/>
      <c r="BL122" s="34"/>
      <c r="BM122" s="34"/>
      <c r="BN122" s="34"/>
      <c r="BO122" s="34"/>
      <c r="BP122" s="34"/>
      <c r="BQ122" s="34"/>
      <c r="BR122" s="34"/>
      <c r="BS122" s="34"/>
      <c r="BT122" s="34"/>
      <c r="BU122" s="5"/>
      <c r="BV122" s="5"/>
      <c r="BW122" s="5"/>
      <c r="BX122" s="5"/>
      <c r="BY122" s="5"/>
      <c r="BZ122" s="5"/>
      <c r="CA122" s="5"/>
      <c r="CB122" s="5"/>
      <c r="CC122" s="5"/>
      <c r="CD122" s="5"/>
      <c r="CE122" s="5"/>
      <c r="CF122" s="5"/>
      <c r="CG122" s="5"/>
      <c r="CH122" s="5"/>
      <c r="CI122" s="5"/>
      <c r="CJ122" s="5"/>
      <c r="CK122" s="5"/>
      <c r="CL122" s="5"/>
    </row>
    <row r="123" spans="1:90" ht="10.35" hidden="1" customHeight="1" x14ac:dyDescent="0.15">
      <c r="A123" s="35"/>
      <c r="B123" s="35"/>
      <c r="C123" s="35"/>
      <c r="D123" s="11"/>
      <c r="E123" s="35"/>
      <c r="F123" s="35"/>
      <c r="G123" s="35"/>
      <c r="H123" s="11"/>
      <c r="I123" s="30"/>
      <c r="J123" s="30"/>
      <c r="K123" s="30"/>
      <c r="L123" s="30"/>
      <c r="M123" s="30"/>
      <c r="N123" s="30"/>
      <c r="O123" s="30"/>
      <c r="P123" s="6"/>
      <c r="Q123" s="6"/>
      <c r="R123" s="6"/>
      <c r="S123" s="16"/>
      <c r="T123" s="9"/>
      <c r="U123" s="7"/>
      <c r="V123" s="8"/>
      <c r="W123" s="8"/>
      <c r="X123" s="8"/>
      <c r="Y123" s="8"/>
      <c r="Z123" s="8"/>
      <c r="AA123" s="8"/>
      <c r="AB123" s="8"/>
      <c r="AC123" s="8"/>
      <c r="AD123" s="8"/>
      <c r="AE123" s="68"/>
      <c r="AF123" s="31"/>
      <c r="AG123" s="32"/>
      <c r="AH123" s="32"/>
      <c r="AI123" s="31"/>
      <c r="AJ123" s="31"/>
      <c r="AK123" s="33"/>
      <c r="AL123" s="33"/>
      <c r="AM123" s="33"/>
      <c r="AN123" s="33"/>
      <c r="AO123" s="33"/>
      <c r="AP123" s="33"/>
      <c r="AQ123" s="33"/>
      <c r="AR123" s="33"/>
      <c r="AS123" s="33"/>
      <c r="AT123" s="33"/>
      <c r="AU123" s="33"/>
      <c r="AV123" s="33"/>
      <c r="AW123" s="33"/>
      <c r="AX123" s="33"/>
      <c r="AY123" s="33"/>
      <c r="AZ123" s="33"/>
      <c r="BA123" s="33"/>
      <c r="BB123" s="33"/>
      <c r="BC123" s="34"/>
      <c r="BD123" s="34"/>
      <c r="BE123" s="34"/>
      <c r="BF123" s="34"/>
      <c r="BG123" s="34"/>
      <c r="BH123" s="34"/>
      <c r="BI123" s="34"/>
      <c r="BJ123" s="34"/>
      <c r="BK123" s="34"/>
      <c r="BL123" s="34"/>
      <c r="BM123" s="34"/>
      <c r="BN123" s="34"/>
      <c r="BO123" s="34"/>
      <c r="BP123" s="34"/>
      <c r="BQ123" s="34"/>
      <c r="BR123" s="34"/>
      <c r="BS123" s="34"/>
      <c r="BT123" s="34"/>
      <c r="BU123" s="5"/>
      <c r="BV123" s="5"/>
      <c r="BW123" s="5"/>
      <c r="BX123" s="5"/>
      <c r="BY123" s="5"/>
      <c r="BZ123" s="5"/>
      <c r="CA123" s="5"/>
      <c r="CB123" s="5"/>
      <c r="CC123" s="5"/>
      <c r="CD123" s="5"/>
      <c r="CE123" s="5"/>
      <c r="CF123" s="5"/>
      <c r="CG123" s="5"/>
      <c r="CH123" s="5"/>
      <c r="CI123" s="5"/>
      <c r="CJ123" s="5"/>
      <c r="CK123" s="5"/>
      <c r="CL123" s="5"/>
    </row>
    <row r="124" spans="1:90" ht="10.35" hidden="1" customHeight="1" x14ac:dyDescent="0.15">
      <c r="A124" s="35"/>
      <c r="B124" s="35"/>
      <c r="C124" s="35"/>
      <c r="D124" s="11"/>
      <c r="E124" s="35"/>
      <c r="F124" s="35"/>
      <c r="G124" s="35"/>
      <c r="H124" s="11"/>
      <c r="I124" s="30"/>
      <c r="J124" s="30"/>
      <c r="K124" s="30"/>
      <c r="L124" s="30"/>
      <c r="M124" s="30"/>
      <c r="N124" s="30"/>
      <c r="O124" s="30"/>
      <c r="P124" s="6"/>
      <c r="Q124" s="6"/>
      <c r="R124" s="6"/>
      <c r="S124" s="16"/>
      <c r="T124" s="9"/>
      <c r="U124" s="7"/>
      <c r="V124" s="8"/>
      <c r="W124" s="8"/>
      <c r="X124" s="8"/>
      <c r="Y124" s="8"/>
      <c r="Z124" s="8"/>
      <c r="AA124" s="8"/>
      <c r="AB124" s="8"/>
      <c r="AC124" s="8"/>
      <c r="AD124" s="8"/>
      <c r="AE124" s="68"/>
      <c r="AF124" s="31"/>
      <c r="AG124" s="32"/>
      <c r="AH124" s="32"/>
      <c r="AI124" s="31"/>
      <c r="AJ124" s="31"/>
      <c r="AK124" s="33"/>
      <c r="AL124" s="33"/>
      <c r="AM124" s="33"/>
      <c r="AN124" s="33"/>
      <c r="AO124" s="33"/>
      <c r="AP124" s="33"/>
      <c r="AQ124" s="33"/>
      <c r="AR124" s="33"/>
      <c r="AS124" s="33"/>
      <c r="AT124" s="33"/>
      <c r="AU124" s="33"/>
      <c r="AV124" s="33"/>
      <c r="AW124" s="33"/>
      <c r="AX124" s="33"/>
      <c r="AY124" s="33"/>
      <c r="AZ124" s="33"/>
      <c r="BA124" s="33"/>
      <c r="BB124" s="33"/>
      <c r="BC124" s="34"/>
      <c r="BD124" s="34"/>
      <c r="BE124" s="34"/>
      <c r="BF124" s="34"/>
      <c r="BG124" s="34"/>
      <c r="BH124" s="34"/>
      <c r="BI124" s="34"/>
      <c r="BJ124" s="34"/>
      <c r="BK124" s="34"/>
      <c r="BL124" s="34"/>
      <c r="BM124" s="34"/>
      <c r="BN124" s="34"/>
      <c r="BO124" s="34"/>
      <c r="BP124" s="34"/>
      <c r="BQ124" s="34"/>
      <c r="BR124" s="34"/>
      <c r="BS124" s="34"/>
      <c r="BT124" s="34"/>
      <c r="BU124" s="5"/>
      <c r="BV124" s="5"/>
      <c r="BW124" s="5"/>
      <c r="BX124" s="5"/>
      <c r="BY124" s="5"/>
      <c r="BZ124" s="5"/>
      <c r="CA124" s="5"/>
      <c r="CB124" s="5"/>
      <c r="CC124" s="5"/>
      <c r="CD124" s="5"/>
      <c r="CE124" s="5"/>
      <c r="CF124" s="5"/>
      <c r="CG124" s="5"/>
      <c r="CH124" s="5"/>
      <c r="CI124" s="5"/>
      <c r="CJ124" s="5"/>
      <c r="CK124" s="5"/>
      <c r="CL124" s="5"/>
    </row>
    <row r="125" spans="1:90" ht="10.35" hidden="1" customHeight="1" x14ac:dyDescent="0.15">
      <c r="A125" s="35"/>
      <c r="B125" s="35"/>
      <c r="C125" s="35"/>
      <c r="D125" s="11"/>
      <c r="E125" s="35"/>
      <c r="F125" s="35"/>
      <c r="G125" s="35"/>
      <c r="H125" s="11"/>
      <c r="I125" s="30"/>
      <c r="J125" s="30"/>
      <c r="K125" s="30"/>
      <c r="L125" s="30"/>
      <c r="M125" s="30"/>
      <c r="N125" s="30"/>
      <c r="O125" s="30"/>
      <c r="P125" s="6"/>
      <c r="Q125" s="6"/>
      <c r="R125" s="6"/>
      <c r="S125" s="16"/>
      <c r="T125" s="9"/>
      <c r="U125" s="7"/>
      <c r="V125" s="8"/>
      <c r="W125" s="8"/>
      <c r="X125" s="8"/>
      <c r="Y125" s="8"/>
      <c r="Z125" s="8"/>
      <c r="AA125" s="8"/>
      <c r="AB125" s="8"/>
      <c r="AC125" s="8"/>
      <c r="AD125" s="8"/>
      <c r="AE125" s="68"/>
      <c r="AF125" s="31"/>
      <c r="AG125" s="32"/>
      <c r="AH125" s="32"/>
      <c r="AI125" s="31"/>
      <c r="AJ125" s="31"/>
      <c r="AK125" s="33"/>
      <c r="AL125" s="33"/>
      <c r="AM125" s="33"/>
      <c r="AN125" s="33"/>
      <c r="AO125" s="33"/>
      <c r="AP125" s="33"/>
      <c r="AQ125" s="33"/>
      <c r="AR125" s="33"/>
      <c r="AS125" s="33"/>
      <c r="AT125" s="33"/>
      <c r="AU125" s="33"/>
      <c r="AV125" s="33"/>
      <c r="AW125" s="33"/>
      <c r="AX125" s="33"/>
      <c r="AY125" s="33"/>
      <c r="AZ125" s="33"/>
      <c r="BA125" s="33"/>
      <c r="BB125" s="33"/>
      <c r="BC125" s="34"/>
      <c r="BD125" s="34"/>
      <c r="BE125" s="34"/>
      <c r="BF125" s="34"/>
      <c r="BG125" s="34"/>
      <c r="BH125" s="34"/>
      <c r="BI125" s="34"/>
      <c r="BJ125" s="34"/>
      <c r="BK125" s="34"/>
      <c r="BL125" s="34"/>
      <c r="BM125" s="34"/>
      <c r="BN125" s="34"/>
      <c r="BO125" s="34"/>
      <c r="BP125" s="34"/>
      <c r="BQ125" s="34"/>
      <c r="BR125" s="34"/>
      <c r="BS125" s="34"/>
      <c r="BT125" s="34"/>
      <c r="BU125" s="5"/>
      <c r="BV125" s="5"/>
      <c r="BW125" s="5"/>
      <c r="BX125" s="5"/>
      <c r="BY125" s="5"/>
      <c r="BZ125" s="5"/>
      <c r="CA125" s="5"/>
      <c r="CB125" s="5"/>
      <c r="CC125" s="5"/>
      <c r="CD125" s="5"/>
      <c r="CE125" s="5"/>
      <c r="CF125" s="5"/>
      <c r="CG125" s="5"/>
      <c r="CH125" s="5"/>
      <c r="CI125" s="5"/>
      <c r="CJ125" s="5"/>
      <c r="CK125" s="5"/>
      <c r="CL125" s="5"/>
    </row>
    <row r="126" spans="1:90" ht="10.35" hidden="1" customHeight="1" x14ac:dyDescent="0.15">
      <c r="A126" s="35"/>
      <c r="B126" s="35"/>
      <c r="C126" s="35"/>
      <c r="D126" s="11"/>
      <c r="E126" s="35"/>
      <c r="F126" s="35"/>
      <c r="G126" s="35"/>
      <c r="H126" s="11"/>
      <c r="I126" s="30"/>
      <c r="J126" s="30"/>
      <c r="K126" s="30"/>
      <c r="L126" s="30"/>
      <c r="M126" s="30"/>
      <c r="N126" s="30"/>
      <c r="O126" s="30"/>
      <c r="P126" s="6"/>
      <c r="Q126" s="6"/>
      <c r="R126" s="6"/>
      <c r="S126" s="16"/>
      <c r="T126" s="9"/>
      <c r="U126" s="7"/>
      <c r="V126" s="8"/>
      <c r="W126" s="8"/>
      <c r="X126" s="8"/>
      <c r="Y126" s="8"/>
      <c r="Z126" s="8"/>
      <c r="AA126" s="8"/>
      <c r="AB126" s="8"/>
      <c r="AC126" s="8"/>
      <c r="AD126" s="8"/>
      <c r="AE126" s="68"/>
      <c r="AF126" s="31"/>
      <c r="AG126" s="32"/>
      <c r="AH126" s="32"/>
      <c r="AI126" s="31"/>
      <c r="AJ126" s="31"/>
      <c r="AK126" s="33"/>
      <c r="AL126" s="33"/>
      <c r="AM126" s="33"/>
      <c r="AN126" s="33"/>
      <c r="AO126" s="33"/>
      <c r="AP126" s="33"/>
      <c r="AQ126" s="33"/>
      <c r="AR126" s="33"/>
      <c r="AS126" s="33"/>
      <c r="AT126" s="33"/>
      <c r="AU126" s="33"/>
      <c r="AV126" s="33"/>
      <c r="AW126" s="33"/>
      <c r="AX126" s="33"/>
      <c r="AY126" s="33"/>
      <c r="AZ126" s="33"/>
      <c r="BA126" s="33"/>
      <c r="BB126" s="33"/>
      <c r="BC126" s="34"/>
      <c r="BD126" s="34"/>
      <c r="BE126" s="34"/>
      <c r="BF126" s="34"/>
      <c r="BG126" s="34"/>
      <c r="BH126" s="34"/>
      <c r="BI126" s="34"/>
      <c r="BJ126" s="34"/>
      <c r="BK126" s="34"/>
      <c r="BL126" s="34"/>
      <c r="BM126" s="34"/>
      <c r="BN126" s="34"/>
      <c r="BO126" s="34"/>
      <c r="BP126" s="34"/>
      <c r="BQ126" s="34"/>
      <c r="BR126" s="34"/>
      <c r="BS126" s="34"/>
      <c r="BT126" s="34"/>
      <c r="BU126" s="5"/>
      <c r="BV126" s="5"/>
      <c r="BW126" s="5"/>
      <c r="BX126" s="5"/>
      <c r="BY126" s="5"/>
      <c r="BZ126" s="5"/>
      <c r="CA126" s="5"/>
      <c r="CB126" s="5"/>
      <c r="CC126" s="5"/>
      <c r="CD126" s="5"/>
      <c r="CE126" s="5"/>
      <c r="CF126" s="5"/>
      <c r="CG126" s="5"/>
      <c r="CH126" s="5"/>
      <c r="CI126" s="5"/>
      <c r="CJ126" s="5"/>
      <c r="CK126" s="5"/>
      <c r="CL126" s="5"/>
    </row>
    <row r="127" spans="1:90" ht="10.35" hidden="1" customHeight="1" x14ac:dyDescent="0.15">
      <c r="A127" s="35"/>
      <c r="B127" s="35"/>
      <c r="C127" s="35"/>
      <c r="D127" s="11"/>
      <c r="E127" s="35"/>
      <c r="F127" s="35"/>
      <c r="G127" s="35"/>
      <c r="H127" s="11"/>
      <c r="I127" s="30"/>
      <c r="J127" s="30"/>
      <c r="K127" s="30"/>
      <c r="L127" s="30"/>
      <c r="M127" s="30"/>
      <c r="N127" s="30"/>
      <c r="O127" s="30"/>
      <c r="P127" s="6"/>
      <c r="Q127" s="6"/>
      <c r="R127" s="6"/>
      <c r="S127" s="16"/>
      <c r="T127" s="9"/>
      <c r="U127" s="7"/>
      <c r="V127" s="8"/>
      <c r="W127" s="8"/>
      <c r="X127" s="8"/>
      <c r="Y127" s="8"/>
      <c r="Z127" s="8"/>
      <c r="AA127" s="8"/>
      <c r="AB127" s="8"/>
      <c r="AC127" s="8"/>
      <c r="AD127" s="8"/>
      <c r="AE127" s="68"/>
      <c r="AF127" s="31"/>
      <c r="AG127" s="32"/>
      <c r="AH127" s="32"/>
      <c r="AI127" s="31"/>
      <c r="AJ127" s="31"/>
      <c r="AK127" s="33"/>
      <c r="AL127" s="33"/>
      <c r="AM127" s="33"/>
      <c r="AN127" s="33"/>
      <c r="AO127" s="33"/>
      <c r="AP127" s="33"/>
      <c r="AQ127" s="33"/>
      <c r="AR127" s="33"/>
      <c r="AS127" s="33"/>
      <c r="AT127" s="33"/>
      <c r="AU127" s="33"/>
      <c r="AV127" s="33"/>
      <c r="AW127" s="33"/>
      <c r="AX127" s="33"/>
      <c r="AY127" s="33"/>
      <c r="AZ127" s="33"/>
      <c r="BA127" s="33"/>
      <c r="BB127" s="33"/>
      <c r="BC127" s="34"/>
      <c r="BD127" s="34"/>
      <c r="BE127" s="34"/>
      <c r="BF127" s="34"/>
      <c r="BG127" s="34"/>
      <c r="BH127" s="34"/>
      <c r="BI127" s="34"/>
      <c r="BJ127" s="34"/>
      <c r="BK127" s="34"/>
      <c r="BL127" s="34"/>
      <c r="BM127" s="34"/>
      <c r="BN127" s="34"/>
      <c r="BO127" s="34"/>
      <c r="BP127" s="34"/>
      <c r="BQ127" s="34"/>
      <c r="BR127" s="34"/>
      <c r="BS127" s="34"/>
      <c r="BT127" s="34"/>
      <c r="BU127" s="5"/>
      <c r="BV127" s="5"/>
      <c r="BW127" s="5"/>
      <c r="BX127" s="5"/>
      <c r="BY127" s="5"/>
      <c r="BZ127" s="5"/>
      <c r="CA127" s="5"/>
      <c r="CB127" s="5"/>
      <c r="CC127" s="5"/>
      <c r="CD127" s="5"/>
      <c r="CE127" s="5"/>
      <c r="CF127" s="5"/>
      <c r="CG127" s="5"/>
      <c r="CH127" s="5"/>
      <c r="CI127" s="5"/>
      <c r="CJ127" s="5"/>
      <c r="CK127" s="5"/>
      <c r="CL127" s="5"/>
    </row>
    <row r="128" spans="1:90" ht="10.35" hidden="1" customHeight="1" x14ac:dyDescent="0.15">
      <c r="A128" s="35"/>
      <c r="B128" s="35"/>
      <c r="C128" s="35"/>
      <c r="D128" s="11"/>
      <c r="E128" s="35"/>
      <c r="F128" s="35"/>
      <c r="G128" s="35"/>
      <c r="H128" s="11"/>
      <c r="I128" s="30"/>
      <c r="J128" s="30"/>
      <c r="K128" s="30"/>
      <c r="L128" s="30"/>
      <c r="M128" s="30"/>
      <c r="N128" s="30"/>
      <c r="O128" s="30"/>
      <c r="P128" s="11"/>
      <c r="Q128" s="6"/>
      <c r="R128" s="11"/>
      <c r="S128" s="16"/>
      <c r="T128" s="11"/>
      <c r="U128" s="4"/>
      <c r="V128" s="11"/>
      <c r="W128" s="11"/>
      <c r="X128" s="11"/>
      <c r="Y128" s="11"/>
      <c r="Z128" s="11"/>
      <c r="AA128" s="11"/>
      <c r="AB128" s="11"/>
      <c r="AC128" s="11"/>
      <c r="AD128" s="11"/>
      <c r="AE128" s="68"/>
      <c r="AF128" s="31"/>
      <c r="AG128" s="32"/>
      <c r="AH128" s="32"/>
      <c r="AI128" s="31"/>
      <c r="AJ128" s="31"/>
      <c r="AK128" s="33"/>
      <c r="AL128" s="33"/>
      <c r="AM128" s="33"/>
      <c r="AN128" s="33"/>
      <c r="AO128" s="33"/>
      <c r="AP128" s="33"/>
      <c r="AQ128" s="33"/>
      <c r="AR128" s="33"/>
      <c r="AS128" s="33"/>
      <c r="AT128" s="33"/>
      <c r="AU128" s="33"/>
      <c r="AV128" s="33"/>
      <c r="AW128" s="33"/>
      <c r="AX128" s="33"/>
      <c r="AY128" s="33"/>
      <c r="AZ128" s="33"/>
      <c r="BA128" s="33"/>
      <c r="BB128" s="33"/>
      <c r="BC128" s="34"/>
      <c r="BD128" s="34"/>
      <c r="BE128" s="34"/>
      <c r="BF128" s="34"/>
      <c r="BG128" s="34"/>
      <c r="BH128" s="34"/>
      <c r="BI128" s="34"/>
      <c r="BJ128" s="34"/>
      <c r="BK128" s="34"/>
      <c r="BL128" s="34"/>
      <c r="BM128" s="34"/>
      <c r="BN128" s="34"/>
      <c r="BO128" s="34"/>
      <c r="BP128" s="34"/>
      <c r="BQ128" s="34"/>
      <c r="BR128" s="34"/>
      <c r="BS128" s="34"/>
      <c r="BT128" s="34"/>
      <c r="BU128" s="5"/>
      <c r="BV128" s="5"/>
      <c r="BW128" s="5"/>
      <c r="BX128" s="5"/>
      <c r="BY128" s="5"/>
      <c r="BZ128" s="5"/>
      <c r="CA128" s="5"/>
      <c r="CB128" s="5"/>
      <c r="CC128" s="5"/>
      <c r="CD128" s="5"/>
      <c r="CE128" s="5"/>
      <c r="CF128" s="5"/>
      <c r="CG128" s="5"/>
      <c r="CH128" s="5"/>
      <c r="CI128" s="5"/>
      <c r="CJ128" s="5"/>
      <c r="CK128" s="5"/>
      <c r="CL128" s="5"/>
    </row>
    <row r="129" spans="1:90" ht="10.35" hidden="1" customHeight="1" x14ac:dyDescent="0.15">
      <c r="A129" s="11"/>
      <c r="B129" s="35"/>
      <c r="C129" s="35"/>
      <c r="D129" s="11"/>
      <c r="E129" s="35"/>
      <c r="F129" s="35"/>
      <c r="G129" s="35"/>
      <c r="H129" s="11"/>
      <c r="I129" s="30"/>
      <c r="J129" s="30"/>
      <c r="K129" s="30"/>
      <c r="L129" s="30"/>
      <c r="M129" s="30"/>
      <c r="N129" s="30"/>
      <c r="O129" s="30"/>
      <c r="P129" s="6"/>
      <c r="Q129" s="6"/>
      <c r="R129" s="6"/>
      <c r="S129" s="16"/>
      <c r="T129" s="9"/>
      <c r="U129" s="7"/>
      <c r="V129" s="8"/>
      <c r="W129" s="8"/>
      <c r="X129" s="8"/>
      <c r="Y129" s="8"/>
      <c r="Z129" s="8"/>
      <c r="AA129" s="8"/>
      <c r="AB129" s="8"/>
      <c r="AC129" s="8"/>
      <c r="AD129" s="8"/>
      <c r="AE129" s="68"/>
      <c r="AF129" s="31"/>
      <c r="AG129" s="32"/>
      <c r="AH129" s="32"/>
      <c r="AI129" s="31"/>
      <c r="AJ129" s="31"/>
      <c r="AK129" s="33"/>
      <c r="AL129" s="33"/>
      <c r="AM129" s="33"/>
      <c r="AN129" s="33"/>
      <c r="AO129" s="33"/>
      <c r="AP129" s="33"/>
      <c r="AQ129" s="33"/>
      <c r="AR129" s="33"/>
      <c r="AS129" s="33"/>
      <c r="AT129" s="33"/>
      <c r="AU129" s="33"/>
      <c r="AV129" s="33"/>
      <c r="AW129" s="33"/>
      <c r="AX129" s="33"/>
      <c r="AY129" s="33"/>
      <c r="AZ129" s="33"/>
      <c r="BA129" s="33"/>
      <c r="BB129" s="33"/>
      <c r="BC129" s="34"/>
      <c r="BD129" s="34"/>
      <c r="BE129" s="34"/>
      <c r="BF129" s="34"/>
      <c r="BG129" s="34"/>
      <c r="BH129" s="34"/>
      <c r="BI129" s="34"/>
      <c r="BJ129" s="34"/>
      <c r="BK129" s="34"/>
      <c r="BL129" s="34"/>
      <c r="BM129" s="34"/>
      <c r="BN129" s="34"/>
      <c r="BO129" s="34"/>
      <c r="BP129" s="34"/>
      <c r="BQ129" s="34"/>
      <c r="BR129" s="34"/>
      <c r="BS129" s="34"/>
      <c r="BT129" s="34"/>
      <c r="BU129" s="5"/>
      <c r="BV129" s="5"/>
      <c r="BW129" s="5"/>
      <c r="BX129" s="5"/>
      <c r="BY129" s="5"/>
      <c r="BZ129" s="5"/>
      <c r="CA129" s="5"/>
      <c r="CB129" s="5"/>
      <c r="CC129" s="5"/>
      <c r="CD129" s="5"/>
      <c r="CE129" s="5"/>
      <c r="CF129" s="5"/>
      <c r="CG129" s="5"/>
      <c r="CH129" s="5"/>
      <c r="CI129" s="5"/>
      <c r="CJ129" s="5"/>
      <c r="CK129" s="5"/>
      <c r="CL129" s="5"/>
    </row>
    <row r="130" spans="1:90" ht="12.75" hidden="1" customHeight="1" x14ac:dyDescent="0.15">
      <c r="I130" s="12"/>
      <c r="J130" s="12"/>
      <c r="K130" s="12"/>
      <c r="L130" s="12"/>
      <c r="M130" s="12"/>
      <c r="N130" s="12"/>
      <c r="O130" s="12"/>
      <c r="P130" s="11" t="s">
        <v>91</v>
      </c>
      <c r="Q130" s="17"/>
      <c r="R130" s="35"/>
      <c r="S130" s="17"/>
      <c r="T130" s="11" t="s">
        <v>91</v>
      </c>
      <c r="U130" s="17"/>
      <c r="V130" s="18"/>
      <c r="W130" s="18"/>
      <c r="X130" s="18"/>
      <c r="Y130" s="18"/>
      <c r="Z130" s="18"/>
      <c r="AA130" s="18"/>
      <c r="AB130" s="18"/>
      <c r="AC130" s="18"/>
      <c r="AD130" s="18"/>
      <c r="AK130" s="5"/>
      <c r="AL130" s="5"/>
      <c r="AM130" s="5"/>
      <c r="AN130" s="5"/>
      <c r="AO130" s="5"/>
      <c r="AP130" s="5"/>
      <c r="AQ130" s="5"/>
      <c r="AR130" s="5"/>
      <c r="AS130" s="5"/>
      <c r="AT130" s="5"/>
      <c r="AU130" s="5"/>
      <c r="AV130" s="5"/>
      <c r="AW130" s="5"/>
      <c r="AX130" s="5"/>
      <c r="AY130" s="5"/>
      <c r="AZ130" s="5"/>
      <c r="BA130" s="5"/>
      <c r="BB130" s="5"/>
      <c r="BC130" s="5"/>
      <c r="BD130" s="5"/>
      <c r="BE130" s="5"/>
      <c r="BF130" s="5"/>
      <c r="BG130" s="5"/>
      <c r="BH130" s="5"/>
      <c r="BI130" s="5"/>
      <c r="BJ130" s="5"/>
      <c r="BK130" s="5"/>
      <c r="BL130" s="5"/>
      <c r="BM130" s="5"/>
      <c r="BN130" s="5"/>
      <c r="BO130" s="5"/>
      <c r="BP130" s="5"/>
      <c r="BQ130" s="5"/>
      <c r="BR130" s="5"/>
      <c r="BS130" s="5"/>
      <c r="BT130" s="5"/>
      <c r="BU130" s="5"/>
      <c r="BV130" s="5"/>
      <c r="BW130" s="5"/>
      <c r="BX130" s="5"/>
      <c r="BY130" s="5"/>
      <c r="BZ130" s="5"/>
      <c r="CA130" s="5"/>
      <c r="CB130" s="5"/>
      <c r="CC130" s="5"/>
      <c r="CD130" s="5"/>
      <c r="CE130" s="5"/>
      <c r="CF130" s="5"/>
      <c r="CG130" s="5"/>
      <c r="CH130" s="5"/>
      <c r="CI130" s="5"/>
      <c r="CJ130" s="5"/>
      <c r="CK130" s="5"/>
      <c r="CL130" s="5"/>
    </row>
    <row r="131" spans="1:90" ht="12.75" hidden="1" customHeight="1" x14ac:dyDescent="0.15">
      <c r="A131" s="12"/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2"/>
      <c r="N131" s="12"/>
      <c r="O131" s="12"/>
      <c r="P131" s="14" t="str">
        <f>A28</f>
        <v>Copyright by Impulse Assessoria de Negócios Ltda. - V. 4.3.1 - 05/2014 - Freeware - hhc@impulserio.com.br - www.impulserio.com.br</v>
      </c>
      <c r="Q131" s="13"/>
      <c r="R131" s="13"/>
      <c r="S131" s="13"/>
      <c r="T131" s="13"/>
      <c r="U131" s="13"/>
      <c r="V131" s="13"/>
      <c r="W131" s="13"/>
      <c r="X131" s="13"/>
      <c r="Y131" s="13"/>
      <c r="Z131" s="13"/>
      <c r="AA131" s="13"/>
      <c r="AB131" s="13"/>
      <c r="AC131" s="13"/>
      <c r="AD131" s="13"/>
      <c r="AK131" s="5"/>
      <c r="AL131" s="5"/>
      <c r="AM131" s="5"/>
      <c r="AN131" s="5"/>
      <c r="AO131" s="5"/>
      <c r="AP131" s="5"/>
      <c r="AQ131" s="5"/>
      <c r="AR131" s="5"/>
      <c r="AS131" s="5"/>
      <c r="AT131" s="5"/>
      <c r="AU131" s="5"/>
      <c r="AV131" s="5"/>
      <c r="AW131" s="5"/>
      <c r="AX131" s="5"/>
      <c r="AY131" s="5"/>
      <c r="AZ131" s="5"/>
      <c r="BA131" s="5"/>
      <c r="BB131" s="5"/>
      <c r="BC131" s="5"/>
      <c r="BD131" s="5"/>
      <c r="BE131" s="5"/>
      <c r="BF131" s="5"/>
      <c r="BG131" s="5"/>
      <c r="BH131" s="5"/>
      <c r="BI131" s="5"/>
      <c r="BJ131" s="5"/>
      <c r="BK131" s="5"/>
      <c r="BL131" s="5"/>
      <c r="BM131" s="5"/>
      <c r="BN131" s="5"/>
      <c r="BO131" s="5"/>
      <c r="BP131" s="5"/>
      <c r="BQ131" s="5"/>
      <c r="BR131" s="5"/>
      <c r="BS131" s="5"/>
      <c r="BT131" s="5"/>
      <c r="BU131" s="5"/>
      <c r="BV131" s="5"/>
      <c r="BW131" s="5"/>
      <c r="BX131" s="5"/>
      <c r="BY131" s="5"/>
      <c r="BZ131" s="5"/>
      <c r="CA131" s="5"/>
      <c r="CB131" s="5"/>
      <c r="CC131" s="5"/>
      <c r="CD131" s="5"/>
      <c r="CE131" s="5"/>
      <c r="CF131" s="5"/>
      <c r="CG131" s="5"/>
      <c r="CH131" s="5"/>
      <c r="CI131" s="5"/>
      <c r="CJ131" s="5"/>
      <c r="CK131" s="5"/>
      <c r="CL131" s="5"/>
    </row>
    <row r="132" spans="1:90" ht="12.75" hidden="1" customHeight="1" x14ac:dyDescent="0.15">
      <c r="A132" s="12"/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  <c r="Y132" s="12"/>
      <c r="Z132" s="12"/>
      <c r="AA132" s="12"/>
      <c r="AB132" s="12"/>
      <c r="AC132" s="12"/>
      <c r="AD132" s="12"/>
      <c r="AK132" s="5"/>
      <c r="AL132" s="5"/>
      <c r="AM132" s="5"/>
      <c r="AN132" s="5"/>
      <c r="AO132" s="5"/>
      <c r="AP132" s="5"/>
      <c r="AQ132" s="5"/>
      <c r="AR132" s="5"/>
      <c r="AS132" s="5"/>
      <c r="AT132" s="5"/>
      <c r="AU132" s="5"/>
      <c r="AV132" s="5"/>
      <c r="AW132" s="5"/>
      <c r="AX132" s="5"/>
      <c r="AY132" s="5"/>
      <c r="AZ132" s="5"/>
      <c r="BA132" s="5"/>
      <c r="BB132" s="5"/>
      <c r="BC132" s="5"/>
      <c r="BD132" s="5"/>
      <c r="BE132" s="5"/>
      <c r="BF132" s="5"/>
      <c r="BG132" s="5"/>
      <c r="BH132" s="5"/>
      <c r="BI132" s="5"/>
      <c r="BJ132" s="5"/>
      <c r="BK132" s="5"/>
      <c r="BL132" s="5"/>
      <c r="BM132" s="5"/>
      <c r="BN132" s="5"/>
      <c r="BO132" s="5"/>
      <c r="BP132" s="5"/>
      <c r="BQ132" s="5"/>
      <c r="BR132" s="5"/>
      <c r="BS132" s="5"/>
      <c r="BT132" s="5"/>
      <c r="BU132" s="5"/>
      <c r="BV132" s="5"/>
      <c r="BW132" s="5"/>
      <c r="BX132" s="5"/>
      <c r="BY132" s="5"/>
      <c r="BZ132" s="5"/>
      <c r="CA132" s="5"/>
      <c r="CB132" s="5"/>
      <c r="CC132" s="5"/>
      <c r="CD132" s="5"/>
      <c r="CE132" s="5"/>
      <c r="CF132" s="5"/>
      <c r="CG132" s="5"/>
      <c r="CH132" s="5"/>
      <c r="CI132" s="5"/>
      <c r="CJ132" s="5"/>
      <c r="CK132" s="5"/>
      <c r="CL132" s="5"/>
    </row>
    <row r="133" spans="1:90" ht="12.75" hidden="1" customHeight="1" x14ac:dyDescent="0.15">
      <c r="A133" s="12"/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  <c r="Y133" s="12"/>
      <c r="Z133" s="12"/>
      <c r="AA133" s="12"/>
      <c r="AB133" s="12"/>
      <c r="AC133" s="12"/>
      <c r="AD133" s="12"/>
      <c r="AK133" s="5"/>
      <c r="AL133" s="5"/>
      <c r="AM133" s="5"/>
      <c r="AN133" s="5"/>
      <c r="AO133" s="5"/>
      <c r="AP133" s="5"/>
      <c r="AQ133" s="5"/>
      <c r="AR133" s="5"/>
      <c r="AS133" s="5"/>
      <c r="AT133" s="5"/>
      <c r="AU133" s="5"/>
      <c r="AV133" s="5"/>
      <c r="AW133" s="5"/>
      <c r="AX133" s="5"/>
      <c r="AY133" s="5"/>
      <c r="AZ133" s="5"/>
      <c r="BA133" s="5"/>
      <c r="BB133" s="5"/>
      <c r="BC133" s="5"/>
      <c r="BD133" s="5"/>
      <c r="BE133" s="5"/>
      <c r="BF133" s="5"/>
      <c r="BG133" s="5"/>
      <c r="BH133" s="5"/>
      <c r="BI133" s="5"/>
      <c r="BJ133" s="5"/>
      <c r="BK133" s="5"/>
      <c r="BL133" s="5"/>
      <c r="BM133" s="5"/>
      <c r="BN133" s="5"/>
      <c r="BO133" s="5"/>
      <c r="BP133" s="5"/>
      <c r="BQ133" s="5"/>
      <c r="BR133" s="5"/>
      <c r="BS133" s="5"/>
      <c r="BT133" s="5"/>
      <c r="BU133" s="5"/>
      <c r="BV133" s="5"/>
      <c r="BW133" s="5"/>
      <c r="BX133" s="5"/>
      <c r="BY133" s="5"/>
      <c r="BZ133" s="5"/>
      <c r="CA133" s="5"/>
      <c r="CB133" s="5"/>
      <c r="CC133" s="5"/>
      <c r="CD133" s="5"/>
      <c r="CE133" s="5"/>
      <c r="CF133" s="5"/>
      <c r="CG133" s="5"/>
      <c r="CH133" s="5"/>
      <c r="CI133" s="5"/>
      <c r="CJ133" s="5"/>
      <c r="CK133" s="5"/>
      <c r="CL133" s="5"/>
    </row>
    <row r="134" spans="1:90" ht="12.75" hidden="1" customHeight="1" x14ac:dyDescent="0.15">
      <c r="A134" s="12"/>
      <c r="B134" s="12"/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  <c r="Y134" s="12"/>
      <c r="Z134" s="12"/>
      <c r="AA134" s="12"/>
      <c r="AB134" s="12"/>
      <c r="AC134" s="12"/>
      <c r="AD134" s="12"/>
      <c r="AK134" s="5"/>
      <c r="AL134" s="5"/>
      <c r="AM134" s="5"/>
      <c r="AN134" s="5"/>
      <c r="AO134" s="5"/>
      <c r="AP134" s="5"/>
      <c r="AQ134" s="5"/>
      <c r="AR134" s="5"/>
      <c r="AS134" s="5"/>
      <c r="AT134" s="5"/>
      <c r="AU134" s="5"/>
      <c r="AV134" s="5"/>
      <c r="AW134" s="5"/>
      <c r="AX134" s="5"/>
      <c r="AY134" s="5"/>
      <c r="AZ134" s="5"/>
      <c r="BA134" s="5"/>
      <c r="BB134" s="5"/>
      <c r="BC134" s="5"/>
      <c r="BD134" s="5"/>
      <c r="BE134" s="5"/>
      <c r="BF134" s="5"/>
      <c r="BG134" s="5"/>
      <c r="BH134" s="5"/>
      <c r="BI134" s="5"/>
      <c r="BJ134" s="5"/>
      <c r="BK134" s="5"/>
      <c r="BL134" s="5"/>
      <c r="BM134" s="5"/>
      <c r="BN134" s="5"/>
      <c r="BO134" s="5"/>
      <c r="BP134" s="5"/>
      <c r="BQ134" s="5"/>
      <c r="BR134" s="5"/>
      <c r="BS134" s="5"/>
      <c r="BT134" s="5"/>
      <c r="BU134" s="5"/>
      <c r="BV134" s="5"/>
      <c r="BW134" s="5"/>
      <c r="BX134" s="5"/>
      <c r="BY134" s="5"/>
      <c r="BZ134" s="5"/>
      <c r="CA134" s="5"/>
      <c r="CB134" s="5"/>
      <c r="CC134" s="5"/>
      <c r="CD134" s="5"/>
      <c r="CE134" s="5"/>
      <c r="CF134" s="5"/>
      <c r="CG134" s="5"/>
      <c r="CH134" s="5"/>
      <c r="CI134" s="5"/>
      <c r="CJ134" s="5"/>
      <c r="CK134" s="5"/>
      <c r="CL134" s="5"/>
    </row>
    <row r="135" spans="1:90" ht="12.75" hidden="1" customHeight="1" x14ac:dyDescent="0.15">
      <c r="A135" s="12"/>
      <c r="B135" s="12"/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  <c r="Y135" s="12"/>
      <c r="Z135" s="12"/>
      <c r="AA135" s="12"/>
      <c r="AB135" s="12"/>
      <c r="AC135" s="12"/>
      <c r="AD135" s="12"/>
      <c r="AK135" s="5"/>
      <c r="AL135" s="5"/>
      <c r="AM135" s="5"/>
      <c r="AN135" s="5"/>
      <c r="AO135" s="5"/>
      <c r="AP135" s="5"/>
      <c r="AQ135" s="5"/>
      <c r="AR135" s="5"/>
      <c r="AS135" s="5"/>
      <c r="AT135" s="5"/>
      <c r="AU135" s="5"/>
      <c r="AV135" s="5"/>
      <c r="AW135" s="5"/>
      <c r="AX135" s="5"/>
      <c r="AY135" s="5"/>
      <c r="AZ135" s="5"/>
      <c r="BA135" s="5"/>
      <c r="BB135" s="5"/>
      <c r="BC135" s="5"/>
      <c r="BD135" s="5"/>
      <c r="BE135" s="5"/>
      <c r="BF135" s="5"/>
      <c r="BG135" s="5"/>
      <c r="BH135" s="5"/>
      <c r="BI135" s="5"/>
      <c r="BJ135" s="5"/>
      <c r="BK135" s="5"/>
      <c r="BL135" s="5"/>
      <c r="BM135" s="5"/>
      <c r="BN135" s="5"/>
      <c r="BO135" s="5"/>
      <c r="BP135" s="5"/>
      <c r="BQ135" s="5"/>
      <c r="BR135" s="5"/>
      <c r="BS135" s="5"/>
      <c r="BT135" s="5"/>
      <c r="BU135" s="5"/>
      <c r="BV135" s="5"/>
      <c r="BW135" s="5"/>
      <c r="BX135" s="5"/>
      <c r="BY135" s="5"/>
      <c r="BZ135" s="5"/>
      <c r="CA135" s="5"/>
      <c r="CB135" s="5"/>
      <c r="CC135" s="5"/>
      <c r="CD135" s="5"/>
      <c r="CE135" s="5"/>
      <c r="CF135" s="5"/>
      <c r="CG135" s="5"/>
      <c r="CH135" s="5"/>
      <c r="CI135" s="5"/>
      <c r="CJ135" s="5"/>
      <c r="CK135" s="5"/>
      <c r="CL135" s="5"/>
    </row>
    <row r="136" spans="1:90" ht="12.75" hidden="1" customHeight="1" x14ac:dyDescent="0.15">
      <c r="A136" s="12"/>
      <c r="B136" s="12"/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  <c r="Y136" s="12"/>
      <c r="Z136" s="12"/>
      <c r="AA136" s="12"/>
      <c r="AB136" s="12"/>
      <c r="AC136" s="12"/>
      <c r="AD136" s="12"/>
      <c r="AK136" s="5"/>
      <c r="AL136" s="5"/>
      <c r="AM136" s="5"/>
      <c r="AN136" s="5"/>
      <c r="AO136" s="5"/>
      <c r="AP136" s="5"/>
      <c r="AQ136" s="5"/>
      <c r="AR136" s="5"/>
      <c r="AS136" s="5"/>
      <c r="AT136" s="5"/>
      <c r="AU136" s="5"/>
      <c r="AV136" s="5"/>
      <c r="AW136" s="5"/>
      <c r="AX136" s="5"/>
      <c r="AY136" s="5"/>
      <c r="AZ136" s="5"/>
      <c r="BA136" s="5"/>
      <c r="BB136" s="5"/>
      <c r="BC136" s="5"/>
      <c r="BD136" s="5"/>
      <c r="BE136" s="5"/>
      <c r="BF136" s="5"/>
      <c r="BG136" s="5"/>
      <c r="BH136" s="5"/>
      <c r="BI136" s="5"/>
      <c r="BJ136" s="5"/>
      <c r="BK136" s="5"/>
      <c r="BL136" s="5"/>
      <c r="BM136" s="5"/>
      <c r="BN136" s="5"/>
      <c r="BO136" s="5"/>
      <c r="BP136" s="5"/>
      <c r="BQ136" s="5"/>
      <c r="BR136" s="5"/>
      <c r="BS136" s="5"/>
      <c r="BT136" s="5"/>
      <c r="BU136" s="5"/>
      <c r="BV136" s="5"/>
      <c r="BW136" s="5"/>
      <c r="BX136" s="5"/>
      <c r="BY136" s="5"/>
      <c r="BZ136" s="5"/>
      <c r="CA136" s="5"/>
      <c r="CB136" s="5"/>
      <c r="CC136" s="5"/>
      <c r="CD136" s="5"/>
      <c r="CE136" s="5"/>
      <c r="CF136" s="5"/>
      <c r="CG136" s="5"/>
      <c r="CH136" s="5"/>
      <c r="CI136" s="5"/>
      <c r="CJ136" s="5"/>
      <c r="CK136" s="5"/>
      <c r="CL136" s="5"/>
    </row>
    <row r="137" spans="1:90" ht="12.75" hidden="1" customHeight="1" x14ac:dyDescent="0.15">
      <c r="A137" s="12"/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  <c r="Y137" s="12"/>
      <c r="Z137" s="12"/>
      <c r="AA137" s="12"/>
      <c r="AB137" s="12"/>
      <c r="AC137" s="12"/>
      <c r="AD137" s="12"/>
      <c r="AK137" s="5"/>
      <c r="AL137" s="5"/>
      <c r="AM137" s="5"/>
      <c r="AN137" s="5"/>
      <c r="AO137" s="5"/>
      <c r="AP137" s="5"/>
      <c r="AQ137" s="5"/>
      <c r="AR137" s="5"/>
      <c r="AS137" s="5"/>
      <c r="AT137" s="5"/>
      <c r="AU137" s="5"/>
      <c r="AV137" s="5"/>
      <c r="AW137" s="5"/>
      <c r="AX137" s="5"/>
      <c r="AY137" s="5"/>
      <c r="AZ137" s="5"/>
      <c r="BA137" s="5"/>
      <c r="BB137" s="5"/>
      <c r="BC137" s="5"/>
      <c r="BD137" s="5"/>
      <c r="BE137" s="5"/>
      <c r="BF137" s="5"/>
      <c r="BG137" s="5"/>
      <c r="BH137" s="5"/>
      <c r="BI137" s="5"/>
      <c r="BJ137" s="5"/>
      <c r="BK137" s="5"/>
      <c r="BL137" s="5"/>
      <c r="BM137" s="5"/>
      <c r="BN137" s="5"/>
      <c r="BO137" s="5"/>
      <c r="BP137" s="5"/>
      <c r="BQ137" s="5"/>
      <c r="BR137" s="5"/>
      <c r="BS137" s="5"/>
      <c r="BT137" s="5"/>
      <c r="BU137" s="5"/>
      <c r="BV137" s="5"/>
      <c r="BW137" s="5"/>
      <c r="BX137" s="5"/>
      <c r="BY137" s="5"/>
      <c r="BZ137" s="5"/>
      <c r="CA137" s="5"/>
      <c r="CB137" s="5"/>
      <c r="CC137" s="5"/>
      <c r="CD137" s="5"/>
      <c r="CE137" s="5"/>
      <c r="CF137" s="5"/>
      <c r="CG137" s="5"/>
      <c r="CH137" s="5"/>
      <c r="CI137" s="5"/>
      <c r="CJ137" s="5"/>
      <c r="CK137" s="5"/>
      <c r="CL137" s="5"/>
    </row>
    <row r="138" spans="1:90" ht="12.75" hidden="1" customHeight="1" x14ac:dyDescent="0.15">
      <c r="A138" s="12"/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  <c r="Y138" s="12"/>
      <c r="Z138" s="12"/>
      <c r="AA138" s="12"/>
      <c r="AB138" s="12"/>
      <c r="AC138" s="12"/>
      <c r="AD138" s="12"/>
      <c r="AK138" s="5"/>
      <c r="AL138" s="5"/>
      <c r="AM138" s="5"/>
      <c r="AN138" s="5"/>
      <c r="AO138" s="5"/>
      <c r="AP138" s="5"/>
      <c r="AQ138" s="5"/>
      <c r="AR138" s="5"/>
      <c r="AS138" s="5"/>
      <c r="AT138" s="5"/>
      <c r="AU138" s="5"/>
      <c r="AV138" s="5"/>
      <c r="AW138" s="5"/>
      <c r="AX138" s="5"/>
      <c r="AY138" s="5"/>
      <c r="AZ138" s="5"/>
      <c r="BA138" s="5"/>
      <c r="BB138" s="5"/>
      <c r="BC138" s="5"/>
      <c r="BD138" s="5"/>
      <c r="BE138" s="5"/>
      <c r="BF138" s="5"/>
      <c r="BG138" s="5"/>
      <c r="BH138" s="5"/>
      <c r="BI138" s="5"/>
      <c r="BJ138" s="5"/>
      <c r="BK138" s="5"/>
      <c r="BL138" s="5"/>
      <c r="BM138" s="5"/>
      <c r="BN138" s="5"/>
      <c r="BO138" s="5"/>
      <c r="BP138" s="5"/>
      <c r="BQ138" s="5"/>
      <c r="BR138" s="5"/>
      <c r="BS138" s="5"/>
      <c r="BT138" s="5"/>
      <c r="BU138" s="5"/>
      <c r="BV138" s="5"/>
      <c r="BW138" s="5"/>
      <c r="BX138" s="5"/>
      <c r="BY138" s="5"/>
      <c r="BZ138" s="5"/>
      <c r="CA138" s="5"/>
      <c r="CB138" s="5"/>
      <c r="CC138" s="5"/>
      <c r="CD138" s="5"/>
      <c r="CE138" s="5"/>
      <c r="CF138" s="5"/>
      <c r="CG138" s="5"/>
      <c r="CH138" s="5"/>
      <c r="CI138" s="5"/>
      <c r="CJ138" s="5"/>
      <c r="CK138" s="5"/>
      <c r="CL138" s="5"/>
    </row>
    <row r="139" spans="1:90" ht="12.75" hidden="1" customHeight="1" x14ac:dyDescent="0.15">
      <c r="A139" s="12"/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  <c r="Y139" s="12"/>
      <c r="Z139" s="12"/>
      <c r="AA139" s="12"/>
      <c r="AB139" s="12"/>
      <c r="AC139" s="12"/>
      <c r="AD139" s="12"/>
      <c r="AK139" s="5"/>
      <c r="AL139" s="5"/>
      <c r="AM139" s="5"/>
      <c r="AN139" s="5"/>
      <c r="AO139" s="5"/>
      <c r="AP139" s="5"/>
      <c r="AQ139" s="5"/>
      <c r="AR139" s="5"/>
      <c r="AS139" s="5"/>
      <c r="AT139" s="5"/>
      <c r="AU139" s="5"/>
      <c r="AV139" s="5"/>
      <c r="AW139" s="5"/>
      <c r="AX139" s="5"/>
      <c r="AY139" s="5"/>
      <c r="AZ139" s="5"/>
      <c r="BA139" s="5"/>
      <c r="BB139" s="5"/>
      <c r="BC139" s="5"/>
      <c r="BD139" s="5"/>
      <c r="BE139" s="5"/>
      <c r="BF139" s="5"/>
      <c r="BG139" s="5"/>
      <c r="BH139" s="5"/>
      <c r="BI139" s="5"/>
      <c r="BJ139" s="5"/>
      <c r="BK139" s="5"/>
      <c r="BL139" s="5"/>
      <c r="BM139" s="5"/>
      <c r="BN139" s="5"/>
      <c r="BO139" s="5"/>
      <c r="BP139" s="5"/>
      <c r="BQ139" s="5"/>
      <c r="BR139" s="5"/>
      <c r="BS139" s="5"/>
      <c r="BT139" s="5"/>
      <c r="BU139" s="5"/>
      <c r="BV139" s="5"/>
      <c r="BW139" s="5"/>
      <c r="BX139" s="5"/>
      <c r="BY139" s="5"/>
      <c r="BZ139" s="5"/>
      <c r="CA139" s="5"/>
      <c r="CB139" s="5"/>
      <c r="CC139" s="5"/>
      <c r="CD139" s="5"/>
      <c r="CE139" s="5"/>
      <c r="CF139" s="5"/>
      <c r="CG139" s="5"/>
      <c r="CH139" s="5"/>
      <c r="CI139" s="5"/>
      <c r="CJ139" s="5"/>
      <c r="CK139" s="5"/>
      <c r="CL139" s="5"/>
    </row>
    <row r="140" spans="1:90" ht="12.75" hidden="1" customHeight="1" x14ac:dyDescent="0.15">
      <c r="A140" s="12"/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/>
      <c r="Y140" s="12"/>
      <c r="Z140" s="12"/>
      <c r="AA140" s="12"/>
      <c r="AB140" s="12"/>
      <c r="AC140" s="12"/>
      <c r="AD140" s="12"/>
      <c r="AK140" s="5"/>
      <c r="AL140" s="5"/>
      <c r="AM140" s="5"/>
      <c r="AN140" s="5"/>
      <c r="AO140" s="5"/>
      <c r="AP140" s="5"/>
      <c r="AQ140" s="5"/>
      <c r="AR140" s="5"/>
      <c r="AS140" s="5"/>
      <c r="AT140" s="5"/>
      <c r="AU140" s="5"/>
      <c r="AV140" s="5"/>
      <c r="AW140" s="5"/>
      <c r="AX140" s="5"/>
      <c r="AY140" s="5"/>
      <c r="AZ140" s="5"/>
      <c r="BA140" s="5"/>
      <c r="BB140" s="5"/>
      <c r="BC140" s="5"/>
      <c r="BD140" s="5"/>
      <c r="BE140" s="5"/>
      <c r="BF140" s="5"/>
      <c r="BG140" s="5"/>
      <c r="BH140" s="5"/>
      <c r="BI140" s="5"/>
      <c r="BJ140" s="5"/>
      <c r="BK140" s="5"/>
      <c r="BL140" s="5"/>
      <c r="BM140" s="5"/>
      <c r="BN140" s="5"/>
      <c r="BO140" s="5"/>
      <c r="BP140" s="5"/>
      <c r="BQ140" s="5"/>
      <c r="BR140" s="5"/>
      <c r="BS140" s="5"/>
      <c r="BT140" s="5"/>
      <c r="BU140" s="5"/>
      <c r="BV140" s="5"/>
      <c r="BW140" s="5"/>
      <c r="BX140" s="5"/>
      <c r="BY140" s="5"/>
      <c r="BZ140" s="5"/>
      <c r="CA140" s="5"/>
      <c r="CB140" s="5"/>
      <c r="CC140" s="5"/>
      <c r="CD140" s="5"/>
      <c r="CE140" s="5"/>
      <c r="CF140" s="5"/>
      <c r="CG140" s="5"/>
      <c r="CH140" s="5"/>
      <c r="CI140" s="5"/>
      <c r="CJ140" s="5"/>
      <c r="CK140" s="5"/>
      <c r="CL140" s="5"/>
    </row>
    <row r="141" spans="1:90" ht="12.75" hidden="1" customHeight="1" x14ac:dyDescent="0.15">
      <c r="A141" s="12"/>
      <c r="B141" s="12"/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/>
      <c r="Y141" s="12"/>
      <c r="Z141" s="12"/>
      <c r="AA141" s="12"/>
      <c r="AB141" s="12"/>
      <c r="AC141" s="12"/>
      <c r="AD141" s="12"/>
      <c r="AK141" s="5"/>
      <c r="AL141" s="5"/>
      <c r="AM141" s="5"/>
      <c r="AN141" s="5"/>
      <c r="AO141" s="5"/>
      <c r="AP141" s="5"/>
      <c r="AQ141" s="5"/>
      <c r="AR141" s="5"/>
      <c r="AS141" s="5"/>
      <c r="AT141" s="5"/>
      <c r="AU141" s="5"/>
      <c r="AV141" s="5"/>
      <c r="AW141" s="5"/>
      <c r="AX141" s="5"/>
      <c r="AY141" s="5"/>
      <c r="AZ141" s="5"/>
      <c r="BA141" s="5"/>
      <c r="BB141" s="5"/>
      <c r="BC141" s="5"/>
      <c r="BD141" s="5"/>
      <c r="BE141" s="5"/>
      <c r="BF141" s="5"/>
      <c r="BG141" s="5"/>
      <c r="BH141" s="5"/>
      <c r="BI141" s="5"/>
      <c r="BJ141" s="5"/>
      <c r="BK141" s="5"/>
      <c r="BL141" s="5"/>
      <c r="BM141" s="5"/>
      <c r="BN141" s="5"/>
      <c r="BO141" s="5"/>
      <c r="BP141" s="5"/>
      <c r="BQ141" s="5"/>
      <c r="BR141" s="5"/>
      <c r="BS141" s="5"/>
      <c r="BT141" s="5"/>
      <c r="BU141" s="5"/>
      <c r="BV141" s="5"/>
      <c r="BW141" s="5"/>
      <c r="BX141" s="5"/>
      <c r="BY141" s="5"/>
      <c r="BZ141" s="5"/>
      <c r="CA141" s="5"/>
      <c r="CB141" s="5"/>
      <c r="CC141" s="5"/>
      <c r="CD141" s="5"/>
      <c r="CE141" s="5"/>
      <c r="CF141" s="5"/>
      <c r="CG141" s="5"/>
      <c r="CH141" s="5"/>
      <c r="CI141" s="5"/>
      <c r="CJ141" s="5"/>
      <c r="CK141" s="5"/>
      <c r="CL141" s="5"/>
    </row>
    <row r="142" spans="1:90" ht="12.75" hidden="1" customHeight="1" x14ac:dyDescent="0.15">
      <c r="A142" s="12"/>
      <c r="B142" s="12"/>
      <c r="C142" s="12"/>
      <c r="D142" s="12"/>
      <c r="E142" s="12"/>
      <c r="F142" s="12"/>
      <c r="G142" s="12"/>
      <c r="H142" s="12"/>
      <c r="I142" s="12"/>
      <c r="J142" s="12"/>
      <c r="K142" s="12"/>
      <c r="L142" s="12"/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2"/>
      <c r="X142" s="12"/>
      <c r="Y142" s="12"/>
      <c r="Z142" s="12"/>
      <c r="AA142" s="12"/>
      <c r="AB142" s="12"/>
      <c r="AC142" s="12"/>
      <c r="AD142" s="12"/>
      <c r="AK142" s="5"/>
      <c r="AL142" s="5"/>
      <c r="AM142" s="5"/>
      <c r="AN142" s="5"/>
      <c r="AO142" s="5"/>
      <c r="AP142" s="5"/>
      <c r="AQ142" s="5"/>
      <c r="AR142" s="5"/>
      <c r="AS142" s="5"/>
      <c r="AT142" s="5"/>
      <c r="AU142" s="5"/>
      <c r="AV142" s="5"/>
      <c r="AW142" s="5"/>
      <c r="AX142" s="5"/>
      <c r="AY142" s="5"/>
      <c r="AZ142" s="5"/>
      <c r="BA142" s="5"/>
      <c r="BB142" s="5"/>
      <c r="BC142" s="5"/>
      <c r="BD142" s="5"/>
      <c r="BE142" s="5"/>
      <c r="BF142" s="5"/>
      <c r="BG142" s="5"/>
      <c r="BH142" s="5"/>
      <c r="BI142" s="5"/>
      <c r="BJ142" s="5"/>
      <c r="BK142" s="5"/>
      <c r="BL142" s="5"/>
      <c r="BM142" s="5"/>
      <c r="BN142" s="5"/>
      <c r="BO142" s="5"/>
      <c r="BP142" s="5"/>
      <c r="BQ142" s="5"/>
      <c r="BR142" s="5"/>
      <c r="BS142" s="5"/>
      <c r="BT142" s="5"/>
      <c r="BU142" s="5"/>
      <c r="BV142" s="5"/>
      <c r="BW142" s="5"/>
      <c r="BX142" s="5"/>
      <c r="BY142" s="5"/>
      <c r="BZ142" s="5"/>
      <c r="CA142" s="5"/>
      <c r="CB142" s="5"/>
      <c r="CC142" s="5"/>
      <c r="CD142" s="5"/>
      <c r="CE142" s="5"/>
      <c r="CF142" s="5"/>
      <c r="CG142" s="5"/>
      <c r="CH142" s="5"/>
      <c r="CI142" s="5"/>
      <c r="CJ142" s="5"/>
      <c r="CK142" s="5"/>
      <c r="CL142" s="5"/>
    </row>
    <row r="143" spans="1:90" ht="12.75" hidden="1" customHeight="1" x14ac:dyDescent="0.15">
      <c r="A143" s="12"/>
      <c r="B143" s="12"/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/>
      <c r="Y143" s="12"/>
      <c r="Z143" s="12"/>
      <c r="AA143" s="12"/>
      <c r="AB143" s="12"/>
      <c r="AC143" s="12"/>
      <c r="AD143" s="12"/>
      <c r="AK143" s="5"/>
      <c r="AL143" s="5"/>
      <c r="AM143" s="5"/>
      <c r="AN143" s="5"/>
      <c r="AO143" s="5"/>
      <c r="AP143" s="5"/>
      <c r="AQ143" s="5"/>
      <c r="AR143" s="5"/>
      <c r="AS143" s="5"/>
      <c r="AT143" s="5"/>
      <c r="AU143" s="5"/>
      <c r="AV143" s="5"/>
      <c r="AW143" s="5"/>
      <c r="AX143" s="5"/>
      <c r="AY143" s="5"/>
      <c r="AZ143" s="5"/>
      <c r="BA143" s="5"/>
      <c r="BB143" s="5"/>
      <c r="BC143" s="5"/>
      <c r="BD143" s="5"/>
      <c r="BE143" s="5"/>
      <c r="BF143" s="5"/>
      <c r="BG143" s="5"/>
      <c r="BH143" s="5"/>
      <c r="BI143" s="5"/>
      <c r="BJ143" s="5"/>
      <c r="BK143" s="5"/>
      <c r="BL143" s="5"/>
      <c r="BM143" s="5"/>
      <c r="BN143" s="5"/>
      <c r="BO143" s="5"/>
      <c r="BP143" s="5"/>
      <c r="BQ143" s="5"/>
      <c r="BR143" s="5"/>
      <c r="BS143" s="5"/>
      <c r="BT143" s="5"/>
      <c r="BU143" s="5"/>
      <c r="BV143" s="5"/>
      <c r="BW143" s="5"/>
      <c r="BX143" s="5"/>
      <c r="BY143" s="5"/>
      <c r="BZ143" s="5"/>
      <c r="CA143" s="5"/>
      <c r="CB143" s="5"/>
      <c r="CC143" s="5"/>
      <c r="CD143" s="5"/>
      <c r="CE143" s="5"/>
      <c r="CF143" s="5"/>
      <c r="CG143" s="5"/>
      <c r="CH143" s="5"/>
      <c r="CI143" s="5"/>
      <c r="CJ143" s="5"/>
      <c r="CK143" s="5"/>
      <c r="CL143" s="5"/>
    </row>
    <row r="144" spans="1:90" ht="12.75" hidden="1" customHeight="1" x14ac:dyDescent="0.15">
      <c r="A144" s="12"/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  <c r="X144" s="12"/>
      <c r="Y144" s="12"/>
      <c r="Z144" s="12"/>
      <c r="AA144" s="12"/>
      <c r="AB144" s="12"/>
      <c r="AC144" s="12"/>
      <c r="AD144" s="12"/>
      <c r="AK144" s="5"/>
      <c r="AL144" s="5"/>
      <c r="AM144" s="5"/>
      <c r="AN144" s="5"/>
      <c r="AO144" s="5"/>
      <c r="AP144" s="5"/>
      <c r="AQ144" s="5"/>
      <c r="AR144" s="5"/>
      <c r="AS144" s="5"/>
      <c r="AT144" s="5"/>
      <c r="AU144" s="5"/>
      <c r="AV144" s="5"/>
      <c r="AW144" s="5"/>
      <c r="AX144" s="5"/>
      <c r="AY144" s="5"/>
      <c r="AZ144" s="5"/>
      <c r="BA144" s="5"/>
      <c r="BB144" s="5"/>
      <c r="BC144" s="5"/>
      <c r="BD144" s="5"/>
      <c r="BE144" s="5"/>
      <c r="BF144" s="5"/>
      <c r="BG144" s="5"/>
      <c r="BH144" s="5"/>
      <c r="BI144" s="5"/>
      <c r="BJ144" s="5"/>
      <c r="BK144" s="5"/>
      <c r="BL144" s="5"/>
      <c r="BM144" s="5"/>
      <c r="BN144" s="5"/>
      <c r="BO144" s="5"/>
      <c r="BP144" s="5"/>
      <c r="BQ144" s="5"/>
      <c r="BR144" s="5"/>
      <c r="BS144" s="5"/>
      <c r="BT144" s="5"/>
      <c r="BU144" s="5"/>
      <c r="BV144" s="5"/>
      <c r="BW144" s="5"/>
      <c r="BX144" s="5"/>
      <c r="BY144" s="5"/>
      <c r="BZ144" s="5"/>
      <c r="CA144" s="5"/>
      <c r="CB144" s="5"/>
      <c r="CC144" s="5"/>
      <c r="CD144" s="5"/>
      <c r="CE144" s="5"/>
      <c r="CF144" s="5"/>
      <c r="CG144" s="5"/>
      <c r="CH144" s="5"/>
      <c r="CI144" s="5"/>
      <c r="CJ144" s="5"/>
      <c r="CK144" s="5"/>
      <c r="CL144" s="5"/>
    </row>
    <row r="145" spans="1:90" ht="12.75" hidden="1" customHeight="1" x14ac:dyDescent="0.15">
      <c r="A145" s="12"/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X145" s="12"/>
      <c r="Y145" s="12"/>
      <c r="Z145" s="12"/>
      <c r="AA145" s="12"/>
      <c r="AB145" s="12"/>
      <c r="AC145" s="12"/>
      <c r="AD145" s="12"/>
      <c r="AK145" s="5"/>
      <c r="AL145" s="5"/>
      <c r="AM145" s="5"/>
      <c r="AN145" s="5"/>
      <c r="AO145" s="5"/>
      <c r="AP145" s="5"/>
      <c r="AQ145" s="5"/>
      <c r="AR145" s="5"/>
      <c r="AS145" s="5"/>
      <c r="AT145" s="5"/>
      <c r="AU145" s="5"/>
      <c r="AV145" s="5"/>
      <c r="AW145" s="5"/>
      <c r="AX145" s="5"/>
      <c r="AY145" s="5"/>
      <c r="AZ145" s="5"/>
      <c r="BA145" s="5"/>
      <c r="BB145" s="5"/>
      <c r="BC145" s="5"/>
      <c r="BD145" s="5"/>
      <c r="BE145" s="5"/>
      <c r="BF145" s="5"/>
      <c r="BG145" s="5"/>
      <c r="BH145" s="5"/>
      <c r="BI145" s="5"/>
      <c r="BJ145" s="5"/>
      <c r="BK145" s="5"/>
      <c r="BL145" s="5"/>
      <c r="BM145" s="5"/>
      <c r="BN145" s="5"/>
      <c r="BO145" s="5"/>
      <c r="BP145" s="5"/>
      <c r="BQ145" s="5"/>
      <c r="BR145" s="5"/>
      <c r="BS145" s="5"/>
      <c r="BT145" s="5"/>
      <c r="BU145" s="5"/>
      <c r="BV145" s="5"/>
      <c r="BW145" s="5"/>
      <c r="BX145" s="5"/>
      <c r="BY145" s="5"/>
      <c r="BZ145" s="5"/>
      <c r="CA145" s="5"/>
      <c r="CB145" s="5"/>
      <c r="CC145" s="5"/>
      <c r="CD145" s="5"/>
      <c r="CE145" s="5"/>
      <c r="CF145" s="5"/>
      <c r="CG145" s="5"/>
      <c r="CH145" s="5"/>
      <c r="CI145" s="5"/>
      <c r="CJ145" s="5"/>
      <c r="CK145" s="5"/>
      <c r="CL145" s="5"/>
    </row>
    <row r="146" spans="1:90" ht="12.75" hidden="1" customHeight="1" x14ac:dyDescent="0.15">
      <c r="A146" s="12"/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  <c r="X146" s="12"/>
      <c r="Y146" s="12"/>
      <c r="Z146" s="12"/>
      <c r="AA146" s="12"/>
      <c r="AB146" s="12"/>
      <c r="AC146" s="12"/>
      <c r="AD146" s="12"/>
      <c r="AK146" s="5"/>
      <c r="AL146" s="5"/>
      <c r="AM146" s="5"/>
      <c r="AN146" s="5"/>
      <c r="AO146" s="5"/>
      <c r="AP146" s="5"/>
      <c r="AQ146" s="5"/>
      <c r="AR146" s="5"/>
      <c r="AS146" s="5"/>
      <c r="AT146" s="5"/>
      <c r="AU146" s="5"/>
      <c r="AV146" s="5"/>
      <c r="AW146" s="5"/>
      <c r="AX146" s="5"/>
      <c r="AY146" s="5"/>
      <c r="AZ146" s="5"/>
      <c r="BA146" s="5"/>
      <c r="BB146" s="5"/>
      <c r="BC146" s="5"/>
      <c r="BD146" s="5"/>
      <c r="BE146" s="5"/>
      <c r="BF146" s="5"/>
      <c r="BG146" s="5"/>
      <c r="BH146" s="5"/>
      <c r="BI146" s="5"/>
      <c r="BJ146" s="5"/>
      <c r="BK146" s="5"/>
      <c r="BL146" s="5"/>
      <c r="BM146" s="5"/>
      <c r="BN146" s="5"/>
      <c r="BO146" s="5"/>
      <c r="BP146" s="5"/>
      <c r="BQ146" s="5"/>
      <c r="BR146" s="5"/>
      <c r="BS146" s="5"/>
      <c r="BT146" s="5"/>
      <c r="BU146" s="5"/>
      <c r="BV146" s="5"/>
      <c r="BW146" s="5"/>
      <c r="BX146" s="5"/>
      <c r="BY146" s="5"/>
      <c r="BZ146" s="5"/>
      <c r="CA146" s="5"/>
      <c r="CB146" s="5"/>
      <c r="CC146" s="5"/>
      <c r="CD146" s="5"/>
      <c r="CE146" s="5"/>
      <c r="CF146" s="5"/>
      <c r="CG146" s="5"/>
      <c r="CH146" s="5"/>
      <c r="CI146" s="5"/>
      <c r="CJ146" s="5"/>
      <c r="CK146" s="5"/>
      <c r="CL146" s="5"/>
    </row>
    <row r="147" spans="1:90" ht="12.75" hidden="1" customHeight="1" x14ac:dyDescent="0.15">
      <c r="A147" s="21"/>
      <c r="B147" s="5"/>
      <c r="C147" s="22"/>
      <c r="D147" s="5"/>
      <c r="E147" s="22"/>
      <c r="F147" s="5"/>
      <c r="G147" s="5"/>
      <c r="H147" s="5"/>
      <c r="I147" s="12"/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  <c r="Y147" s="12"/>
      <c r="Z147" s="12"/>
      <c r="AA147" s="12"/>
      <c r="AB147" s="12"/>
      <c r="AC147" s="12"/>
      <c r="AD147" s="12"/>
      <c r="BC147" s="5"/>
      <c r="BD147" s="5"/>
      <c r="BE147" s="5"/>
      <c r="BF147" s="5"/>
      <c r="BG147" s="5"/>
      <c r="BH147" s="5"/>
      <c r="BI147" s="5"/>
      <c r="BJ147" s="5"/>
      <c r="BK147" s="5"/>
      <c r="BL147" s="5"/>
      <c r="BM147" s="5"/>
      <c r="BN147" s="5"/>
      <c r="BO147" s="5"/>
      <c r="BP147" s="5"/>
      <c r="BQ147" s="5"/>
      <c r="BR147" s="5"/>
      <c r="BS147" s="5"/>
      <c r="BT147" s="5"/>
      <c r="BU147" s="5"/>
      <c r="BV147" s="5"/>
      <c r="BW147" s="5"/>
      <c r="BX147" s="5"/>
      <c r="BY147" s="5"/>
      <c r="BZ147" s="5"/>
      <c r="CA147" s="5"/>
      <c r="CB147" s="5"/>
      <c r="CC147" s="5"/>
      <c r="CD147" s="5"/>
      <c r="CE147" s="5"/>
      <c r="CF147" s="5"/>
      <c r="CG147" s="5"/>
      <c r="CH147" s="5"/>
      <c r="CI147" s="5"/>
      <c r="CJ147" s="5"/>
      <c r="CK147" s="5"/>
      <c r="CL147" s="5"/>
    </row>
    <row r="148" spans="1:90" ht="12.75" hidden="1" customHeight="1" x14ac:dyDescent="0.15">
      <c r="A148" s="21"/>
      <c r="B148" s="5"/>
      <c r="C148" s="22"/>
      <c r="D148" s="5"/>
      <c r="E148" s="22"/>
      <c r="F148" s="5"/>
      <c r="G148" s="5"/>
      <c r="H148" s="5"/>
      <c r="I148" s="12"/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  <c r="Y148" s="12"/>
      <c r="Z148" s="12"/>
      <c r="AA148" s="12"/>
      <c r="AB148" s="12"/>
      <c r="AC148" s="12"/>
      <c r="AD148" s="12"/>
    </row>
    <row r="149" spans="1:90" ht="12.75" hidden="1" customHeight="1" x14ac:dyDescent="0.15">
      <c r="A149" s="21"/>
      <c r="B149" s="5"/>
      <c r="C149" s="22"/>
      <c r="D149" s="5"/>
      <c r="E149" s="22"/>
      <c r="F149" s="5"/>
      <c r="G149" s="5"/>
      <c r="H149" s="5"/>
      <c r="I149" s="12"/>
      <c r="J149" s="12"/>
      <c r="K149" s="12"/>
      <c r="L149" s="12"/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2"/>
      <c r="X149" s="12"/>
      <c r="Y149" s="12"/>
      <c r="Z149" s="12"/>
      <c r="AA149" s="12"/>
      <c r="AB149" s="12"/>
      <c r="AC149" s="12"/>
      <c r="AD149" s="12"/>
    </row>
    <row r="150" spans="1:90" ht="12.75" hidden="1" customHeight="1" x14ac:dyDescent="0.15">
      <c r="A150" s="21"/>
      <c r="B150" s="5"/>
      <c r="C150" s="22"/>
      <c r="D150" s="5"/>
      <c r="E150" s="22"/>
      <c r="F150" s="5"/>
      <c r="G150" s="5"/>
      <c r="H150" s="5"/>
      <c r="I150" s="12"/>
      <c r="J150" s="12"/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  <c r="X150" s="12"/>
      <c r="Y150" s="12"/>
      <c r="Z150" s="12"/>
      <c r="AA150" s="12"/>
      <c r="AB150" s="12"/>
      <c r="AC150" s="12"/>
      <c r="AD150" s="12"/>
    </row>
    <row r="151" spans="1:90" ht="12.75" hidden="1" customHeight="1" x14ac:dyDescent="0.15">
      <c r="A151" s="21"/>
      <c r="B151" s="5"/>
      <c r="C151" s="22"/>
      <c r="D151" s="5"/>
      <c r="E151" s="22"/>
      <c r="F151" s="5"/>
      <c r="G151" s="5"/>
      <c r="H151" s="5"/>
      <c r="I151" s="12"/>
      <c r="J151" s="12"/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  <c r="X151" s="12"/>
      <c r="Y151" s="12"/>
      <c r="Z151" s="12"/>
      <c r="AA151" s="12"/>
      <c r="AB151" s="12"/>
      <c r="AC151" s="12"/>
      <c r="AD151" s="12"/>
    </row>
    <row r="152" spans="1:90" ht="12.75" hidden="1" customHeight="1" x14ac:dyDescent="0.15">
      <c r="A152" s="21"/>
      <c r="B152" s="5"/>
      <c r="C152" s="22"/>
      <c r="D152" s="5"/>
      <c r="E152" s="22"/>
      <c r="F152" s="5"/>
      <c r="G152" s="5"/>
      <c r="H152" s="5"/>
      <c r="K152" s="26"/>
      <c r="P152" s="12"/>
      <c r="Q152" s="12"/>
      <c r="R152" s="12"/>
      <c r="S152" s="12"/>
      <c r="T152" s="12"/>
      <c r="U152" s="12"/>
      <c r="V152" s="12"/>
      <c r="W152" s="12"/>
      <c r="X152" s="12"/>
      <c r="Y152" s="12"/>
      <c r="Z152" s="12"/>
      <c r="AA152" s="12"/>
      <c r="AB152" s="12"/>
      <c r="AC152" s="12"/>
      <c r="AD152" s="12"/>
    </row>
    <row r="153" spans="1:90" ht="12.75" hidden="1" customHeight="1" x14ac:dyDescent="0.15">
      <c r="A153" s="21"/>
      <c r="B153" s="5"/>
      <c r="C153" s="22"/>
      <c r="D153" s="5"/>
      <c r="E153" s="22"/>
      <c r="F153" s="5"/>
      <c r="G153" s="5"/>
      <c r="H153" s="5"/>
      <c r="K153" s="26"/>
      <c r="P153" s="12"/>
      <c r="Q153" s="12"/>
      <c r="R153" s="12"/>
      <c r="S153" s="12"/>
      <c r="T153" s="12"/>
      <c r="U153" s="12"/>
      <c r="V153" s="12"/>
      <c r="W153" s="12"/>
      <c r="X153" s="12"/>
      <c r="Y153" s="12"/>
      <c r="Z153" s="12"/>
      <c r="AA153" s="12"/>
      <c r="AB153" s="12"/>
      <c r="AC153" s="12"/>
      <c r="AD153" s="12"/>
    </row>
    <row r="154" spans="1:90" ht="12.75" hidden="1" customHeight="1" x14ac:dyDescent="0.15">
      <c r="A154" s="21"/>
      <c r="B154" s="5"/>
      <c r="C154" s="22"/>
      <c r="D154" s="5"/>
      <c r="E154" s="22"/>
      <c r="F154" s="5"/>
      <c r="G154" s="5"/>
      <c r="H154" s="5"/>
      <c r="K154" s="26"/>
      <c r="P154" s="12"/>
      <c r="Q154" s="12"/>
      <c r="R154" s="12"/>
      <c r="S154" s="12"/>
      <c r="T154" s="12"/>
      <c r="U154" s="12"/>
      <c r="V154" s="12"/>
      <c r="W154" s="12"/>
      <c r="X154" s="12"/>
      <c r="Y154" s="12"/>
      <c r="Z154" s="12"/>
      <c r="AA154" s="12"/>
      <c r="AB154" s="12"/>
      <c r="AC154" s="12"/>
      <c r="AD154" s="12"/>
    </row>
    <row r="155" spans="1:90" ht="12.75" hidden="1" customHeight="1" x14ac:dyDescent="0.15">
      <c r="A155" s="21"/>
      <c r="B155" s="5"/>
      <c r="C155" s="22"/>
      <c r="D155" s="5"/>
      <c r="E155" s="22"/>
      <c r="F155" s="5"/>
      <c r="G155" s="5"/>
      <c r="H155" s="5"/>
      <c r="K155" s="26"/>
      <c r="P155" s="12"/>
      <c r="Q155" s="12"/>
      <c r="R155" s="12"/>
      <c r="S155" s="12"/>
      <c r="T155" s="12"/>
      <c r="U155" s="12"/>
      <c r="V155" s="12"/>
      <c r="W155" s="12"/>
      <c r="X155" s="12"/>
      <c r="Y155" s="12"/>
      <c r="Z155" s="12"/>
      <c r="AA155" s="12"/>
      <c r="AB155" s="12"/>
      <c r="AC155" s="12"/>
      <c r="AD155" s="12"/>
    </row>
    <row r="156" spans="1:90" ht="12.75" hidden="1" customHeight="1" x14ac:dyDescent="0.15">
      <c r="A156" s="21"/>
      <c r="B156" s="5"/>
      <c r="C156" s="22"/>
      <c r="D156" s="5"/>
      <c r="E156" s="22"/>
      <c r="F156" s="5"/>
      <c r="G156" s="5"/>
      <c r="H156" s="5"/>
      <c r="K156" s="26"/>
      <c r="P156" s="12"/>
      <c r="Q156" s="12"/>
      <c r="R156" s="12"/>
      <c r="S156" s="12"/>
      <c r="T156" s="12"/>
      <c r="U156" s="12"/>
      <c r="V156" s="12"/>
      <c r="W156" s="12"/>
      <c r="X156" s="12"/>
      <c r="Y156" s="12"/>
      <c r="Z156" s="12"/>
      <c r="AA156" s="12"/>
      <c r="AB156" s="12"/>
      <c r="AC156" s="12"/>
      <c r="AD156" s="12"/>
    </row>
    <row r="157" spans="1:90" ht="12.75" hidden="1" customHeight="1" x14ac:dyDescent="0.15">
      <c r="A157" s="21"/>
      <c r="B157" s="5"/>
      <c r="C157" s="22"/>
      <c r="D157" s="5"/>
      <c r="E157" s="22"/>
      <c r="F157" s="5"/>
      <c r="G157" s="5"/>
      <c r="H157" s="5"/>
      <c r="K157" s="26"/>
      <c r="P157" s="12"/>
      <c r="Q157" s="12"/>
      <c r="R157" s="12"/>
      <c r="S157" s="12"/>
      <c r="T157" s="12"/>
      <c r="U157" s="12"/>
      <c r="V157" s="12"/>
      <c r="W157" s="12"/>
      <c r="X157" s="12"/>
      <c r="Y157" s="12"/>
      <c r="Z157" s="12"/>
      <c r="AA157" s="12"/>
      <c r="AB157" s="12"/>
      <c r="AC157" s="12"/>
      <c r="AD157" s="12"/>
    </row>
    <row r="158" spans="1:90" ht="12.75" hidden="1" customHeight="1" x14ac:dyDescent="0.15">
      <c r="A158" s="21"/>
      <c r="B158" s="5"/>
      <c r="C158" s="22"/>
      <c r="D158" s="5"/>
      <c r="E158" s="22"/>
      <c r="F158" s="5"/>
      <c r="G158" s="5"/>
      <c r="H158" s="5"/>
      <c r="K158" s="26"/>
      <c r="P158" s="12"/>
      <c r="Q158" s="12"/>
      <c r="R158" s="12"/>
      <c r="S158" s="12"/>
      <c r="T158" s="12"/>
      <c r="U158" s="12"/>
      <c r="V158" s="12"/>
      <c r="W158" s="12"/>
      <c r="X158" s="12"/>
      <c r="Y158" s="12"/>
      <c r="Z158" s="12"/>
      <c r="AA158" s="12"/>
      <c r="AB158" s="12"/>
      <c r="AC158" s="12"/>
      <c r="AD158" s="12"/>
    </row>
    <row r="159" spans="1:90" ht="12.75" hidden="1" customHeight="1" x14ac:dyDescent="0.15">
      <c r="A159" s="21"/>
      <c r="B159" s="5"/>
      <c r="C159" s="22"/>
      <c r="D159" s="5"/>
      <c r="E159" s="22"/>
      <c r="F159" s="5"/>
      <c r="G159" s="5"/>
      <c r="H159" s="5"/>
      <c r="K159" s="26"/>
      <c r="P159" s="12"/>
      <c r="Q159" s="12"/>
      <c r="R159" s="12"/>
      <c r="S159" s="12"/>
      <c r="T159" s="12"/>
      <c r="U159" s="12"/>
      <c r="V159" s="12"/>
      <c r="W159" s="12"/>
      <c r="X159" s="12"/>
      <c r="Y159" s="12"/>
      <c r="Z159" s="12"/>
      <c r="AA159" s="12"/>
      <c r="AB159" s="12"/>
      <c r="AC159" s="12"/>
      <c r="AD159" s="12"/>
    </row>
    <row r="160" spans="1:90" ht="12.75" hidden="1" customHeight="1" x14ac:dyDescent="0.15">
      <c r="A160" s="21"/>
      <c r="B160" s="5"/>
      <c r="C160" s="22"/>
      <c r="D160" s="5"/>
      <c r="E160" s="22"/>
      <c r="F160" s="5"/>
      <c r="G160" s="5"/>
      <c r="H160" s="5"/>
      <c r="K160" s="26"/>
      <c r="P160" s="12"/>
      <c r="Q160" s="12"/>
      <c r="R160" s="12"/>
      <c r="S160" s="12"/>
      <c r="T160" s="12"/>
      <c r="U160" s="12"/>
      <c r="V160" s="12"/>
      <c r="W160" s="12"/>
      <c r="X160" s="12"/>
      <c r="Y160" s="12"/>
      <c r="Z160" s="12"/>
      <c r="AA160" s="12"/>
      <c r="AB160" s="12"/>
      <c r="AC160" s="12"/>
      <c r="AD160" s="12"/>
    </row>
    <row r="161" spans="1:30" ht="12.75" hidden="1" customHeight="1" x14ac:dyDescent="0.15">
      <c r="A161" s="21"/>
      <c r="B161" s="5"/>
      <c r="C161" s="22"/>
      <c r="D161" s="5"/>
      <c r="E161" s="22"/>
      <c r="F161" s="5"/>
      <c r="G161" s="5"/>
      <c r="H161" s="5"/>
      <c r="K161" s="26"/>
      <c r="P161" s="12"/>
      <c r="Q161" s="12"/>
      <c r="R161" s="12"/>
      <c r="S161" s="12"/>
      <c r="T161" s="12"/>
      <c r="U161" s="12"/>
      <c r="V161" s="12"/>
      <c r="W161" s="12"/>
      <c r="X161" s="12"/>
      <c r="Y161" s="12"/>
      <c r="Z161" s="12"/>
      <c r="AA161" s="12"/>
      <c r="AB161" s="12"/>
      <c r="AC161" s="12"/>
      <c r="AD161" s="12"/>
    </row>
    <row r="162" spans="1:30" ht="12.75" hidden="1" customHeight="1" x14ac:dyDescent="0.15">
      <c r="A162" s="21"/>
      <c r="B162" s="5"/>
      <c r="C162" s="22"/>
      <c r="D162" s="5"/>
      <c r="E162" s="22"/>
      <c r="F162" s="5"/>
      <c r="G162" s="5"/>
      <c r="H162" s="5"/>
      <c r="K162" s="26"/>
      <c r="P162" s="12"/>
      <c r="Q162" s="12"/>
      <c r="R162" s="12"/>
      <c r="S162" s="12"/>
      <c r="T162" s="12"/>
      <c r="U162" s="12"/>
      <c r="V162" s="12"/>
      <c r="W162" s="12"/>
      <c r="X162" s="12"/>
      <c r="Y162" s="12"/>
      <c r="Z162" s="12"/>
      <c r="AA162" s="12"/>
      <c r="AB162" s="12"/>
      <c r="AC162" s="12"/>
      <c r="AD162" s="12"/>
    </row>
    <row r="163" spans="1:30" hidden="1" x14ac:dyDescent="0.15">
      <c r="A163" s="21"/>
      <c r="B163" s="5"/>
      <c r="C163" s="22"/>
      <c r="D163" s="5"/>
      <c r="E163" s="22"/>
      <c r="F163" s="5"/>
      <c r="G163" s="5"/>
      <c r="H163" s="5"/>
      <c r="K163" s="26"/>
      <c r="P163" s="12"/>
      <c r="Q163" s="12"/>
      <c r="R163" s="12"/>
      <c r="S163" s="12"/>
      <c r="T163" s="12"/>
      <c r="U163" s="12"/>
      <c r="V163" s="12"/>
      <c r="W163" s="12"/>
      <c r="X163" s="12"/>
      <c r="Y163" s="12"/>
      <c r="Z163" s="12"/>
      <c r="AA163" s="12"/>
      <c r="AB163" s="12"/>
      <c r="AC163" s="12"/>
      <c r="AD163" s="12"/>
    </row>
    <row r="164" spans="1:30" hidden="1" x14ac:dyDescent="0.15">
      <c r="A164" s="21"/>
      <c r="B164" s="5"/>
      <c r="C164" s="22"/>
      <c r="D164" s="5"/>
      <c r="E164" s="22"/>
      <c r="F164" s="5"/>
      <c r="G164" s="5"/>
      <c r="H164" s="5"/>
      <c r="K164" s="26"/>
      <c r="P164" s="12"/>
      <c r="Q164" s="12"/>
      <c r="R164" s="12"/>
      <c r="S164" s="12"/>
      <c r="T164" s="12"/>
      <c r="U164" s="12"/>
      <c r="V164" s="12"/>
      <c r="W164" s="12"/>
      <c r="X164" s="12"/>
      <c r="Y164" s="12"/>
      <c r="Z164" s="12"/>
      <c r="AA164" s="12"/>
      <c r="AB164" s="12"/>
      <c r="AC164" s="12"/>
      <c r="AD164" s="12"/>
    </row>
    <row r="165" spans="1:30" hidden="1" x14ac:dyDescent="0.15">
      <c r="A165" s="21"/>
      <c r="B165" s="5"/>
      <c r="C165" s="22"/>
      <c r="D165" s="5"/>
      <c r="E165" s="22"/>
      <c r="F165" s="5"/>
      <c r="G165" s="5"/>
      <c r="H165" s="5"/>
      <c r="K165" s="26"/>
      <c r="P165" s="12"/>
      <c r="Q165" s="12"/>
      <c r="R165" s="12"/>
      <c r="S165" s="12"/>
      <c r="T165" s="12"/>
      <c r="U165" s="12"/>
      <c r="V165" s="12"/>
      <c r="W165" s="12"/>
      <c r="X165" s="12"/>
      <c r="Y165" s="12"/>
      <c r="Z165" s="12"/>
      <c r="AA165" s="12"/>
      <c r="AB165" s="12"/>
      <c r="AC165" s="12"/>
      <c r="AD165" s="12"/>
    </row>
    <row r="166" spans="1:30" hidden="1" x14ac:dyDescent="0.15">
      <c r="A166" s="21"/>
      <c r="B166" s="5"/>
      <c r="C166" s="22"/>
      <c r="D166" s="5"/>
      <c r="E166" s="22"/>
      <c r="F166" s="5"/>
      <c r="G166" s="5"/>
      <c r="H166" s="5"/>
      <c r="K166" s="26"/>
      <c r="P166" s="12"/>
      <c r="Q166" s="12"/>
      <c r="R166" s="12"/>
      <c r="S166" s="12"/>
      <c r="T166" s="12"/>
      <c r="U166" s="12"/>
      <c r="V166" s="12"/>
      <c r="W166" s="12"/>
      <c r="X166" s="12"/>
      <c r="Y166" s="12"/>
      <c r="Z166" s="12"/>
      <c r="AA166" s="12"/>
      <c r="AB166" s="12"/>
      <c r="AC166" s="12"/>
      <c r="AD166" s="12"/>
    </row>
    <row r="167" spans="1:30" hidden="1" x14ac:dyDescent="0.15">
      <c r="A167" s="21"/>
      <c r="B167" s="5"/>
      <c r="C167" s="22"/>
      <c r="D167" s="5"/>
      <c r="E167" s="22"/>
      <c r="F167" s="5"/>
      <c r="G167" s="5"/>
      <c r="H167" s="5"/>
      <c r="K167" s="26"/>
      <c r="P167" s="12"/>
      <c r="Q167" s="12"/>
      <c r="R167" s="12"/>
      <c r="S167" s="12"/>
      <c r="T167" s="12"/>
      <c r="U167" s="12"/>
      <c r="V167" s="12"/>
      <c r="W167" s="12"/>
      <c r="X167" s="12"/>
      <c r="Y167" s="12"/>
      <c r="Z167" s="12"/>
      <c r="AA167" s="12"/>
      <c r="AB167" s="12"/>
      <c r="AC167" s="12"/>
      <c r="AD167" s="12"/>
    </row>
    <row r="168" spans="1:30" hidden="1" x14ac:dyDescent="0.15">
      <c r="A168" s="21"/>
      <c r="B168" s="5"/>
      <c r="C168" s="22"/>
      <c r="D168" s="5"/>
      <c r="E168" s="22"/>
      <c r="F168" s="5"/>
      <c r="G168" s="5"/>
      <c r="H168" s="5"/>
      <c r="K168" s="26"/>
      <c r="P168" s="12"/>
      <c r="Q168" s="12"/>
      <c r="R168" s="12"/>
      <c r="S168" s="12"/>
      <c r="T168" s="12"/>
      <c r="U168" s="12"/>
      <c r="V168" s="12"/>
      <c r="W168" s="12"/>
      <c r="X168" s="12"/>
      <c r="Y168" s="12"/>
      <c r="Z168" s="12"/>
      <c r="AA168" s="12"/>
      <c r="AB168" s="12"/>
      <c r="AC168" s="12"/>
      <c r="AD168" s="12"/>
    </row>
    <row r="169" spans="1:30" hidden="1" x14ac:dyDescent="0.15">
      <c r="A169" s="21"/>
      <c r="B169" s="5"/>
      <c r="C169" s="22"/>
      <c r="D169" s="5"/>
      <c r="E169" s="22"/>
      <c r="F169" s="5"/>
      <c r="G169" s="5"/>
      <c r="H169" s="5"/>
      <c r="K169" s="26"/>
      <c r="P169" s="12"/>
      <c r="Q169" s="12"/>
      <c r="R169" s="12"/>
      <c r="S169" s="12"/>
      <c r="T169" s="12"/>
      <c r="U169" s="12"/>
      <c r="V169" s="12"/>
      <c r="W169" s="12"/>
      <c r="X169" s="12"/>
      <c r="Y169" s="12"/>
      <c r="Z169" s="12"/>
      <c r="AA169" s="12"/>
      <c r="AB169" s="12"/>
      <c r="AC169" s="12"/>
      <c r="AD169" s="12"/>
    </row>
    <row r="170" spans="1:30" hidden="1" x14ac:dyDescent="0.15">
      <c r="A170" s="21"/>
      <c r="B170" s="5"/>
      <c r="C170" s="22"/>
      <c r="D170" s="5"/>
      <c r="E170" s="22"/>
      <c r="F170" s="5"/>
      <c r="G170" s="5"/>
      <c r="H170" s="5"/>
      <c r="K170" s="26"/>
      <c r="P170" s="12"/>
      <c r="Q170" s="12"/>
      <c r="R170" s="12"/>
      <c r="S170" s="12"/>
      <c r="T170" s="12"/>
      <c r="U170" s="12"/>
      <c r="V170" s="12"/>
      <c r="W170" s="12"/>
      <c r="X170" s="12"/>
      <c r="Y170" s="12"/>
      <c r="Z170" s="12"/>
      <c r="AA170" s="12"/>
      <c r="AB170" s="12"/>
      <c r="AC170" s="12"/>
      <c r="AD170" s="12"/>
    </row>
    <row r="171" spans="1:30" hidden="1" x14ac:dyDescent="0.15">
      <c r="A171" s="21"/>
      <c r="B171" s="5"/>
      <c r="C171" s="22"/>
      <c r="D171" s="5"/>
      <c r="E171" s="22"/>
      <c r="F171" s="5"/>
      <c r="G171" s="5"/>
      <c r="H171" s="5"/>
      <c r="K171" s="26"/>
      <c r="P171" s="12"/>
      <c r="Q171" s="12"/>
      <c r="R171" s="12"/>
      <c r="S171" s="12"/>
      <c r="T171" s="12"/>
      <c r="U171" s="12"/>
      <c r="V171" s="12"/>
      <c r="W171" s="12"/>
      <c r="X171" s="12"/>
      <c r="Y171" s="12"/>
      <c r="Z171" s="12"/>
      <c r="AA171" s="12"/>
      <c r="AB171" s="12"/>
      <c r="AC171" s="12"/>
      <c r="AD171" s="12"/>
    </row>
    <row r="172" spans="1:30" hidden="1" x14ac:dyDescent="0.15">
      <c r="A172" s="21"/>
      <c r="B172" s="5"/>
      <c r="C172" s="22"/>
      <c r="D172" s="5"/>
      <c r="E172" s="22"/>
      <c r="F172" s="5"/>
      <c r="G172" s="5"/>
      <c r="H172" s="5"/>
      <c r="K172" s="26"/>
      <c r="P172" s="12"/>
      <c r="Q172" s="12"/>
      <c r="R172" s="12"/>
      <c r="S172" s="12"/>
      <c r="T172" s="12"/>
      <c r="U172" s="12"/>
      <c r="V172" s="12"/>
      <c r="W172" s="12"/>
      <c r="X172" s="12"/>
      <c r="Y172" s="12"/>
      <c r="Z172" s="12"/>
      <c r="AA172" s="12"/>
      <c r="AB172" s="12"/>
      <c r="AC172" s="12"/>
      <c r="AD172" s="12"/>
    </row>
    <row r="173" spans="1:30" hidden="1" x14ac:dyDescent="0.15">
      <c r="A173" s="21"/>
      <c r="B173" s="5"/>
      <c r="C173" s="22"/>
      <c r="D173" s="5"/>
      <c r="E173" s="22"/>
      <c r="F173" s="5"/>
      <c r="G173" s="5"/>
      <c r="H173" s="5"/>
      <c r="P173" s="12"/>
      <c r="Q173" s="12"/>
      <c r="R173" s="12"/>
      <c r="S173" s="12"/>
      <c r="T173" s="12"/>
      <c r="U173" s="12"/>
      <c r="V173" s="12"/>
      <c r="W173" s="12"/>
      <c r="X173" s="12"/>
      <c r="Y173" s="12"/>
      <c r="Z173" s="12"/>
      <c r="AA173" s="12"/>
      <c r="AB173" s="12"/>
      <c r="AC173" s="12"/>
      <c r="AD173" s="12"/>
    </row>
    <row r="174" spans="1:30" hidden="1" x14ac:dyDescent="0.15">
      <c r="A174" s="21"/>
      <c r="B174" s="5"/>
      <c r="C174" s="22"/>
      <c r="D174" s="5"/>
      <c r="E174" s="22"/>
      <c r="F174" s="5"/>
      <c r="G174" s="5"/>
      <c r="H174" s="5"/>
      <c r="P174" s="12"/>
      <c r="Q174" s="12"/>
      <c r="R174" s="12"/>
      <c r="S174" s="12"/>
      <c r="T174" s="12"/>
      <c r="U174" s="12"/>
      <c r="V174" s="12"/>
      <c r="W174" s="12"/>
      <c r="X174" s="12"/>
      <c r="Y174" s="12"/>
      <c r="Z174" s="12"/>
      <c r="AA174" s="12"/>
      <c r="AB174" s="12"/>
      <c r="AC174" s="12"/>
      <c r="AD174" s="12"/>
    </row>
    <row r="175" spans="1:30" hidden="1" x14ac:dyDescent="0.15">
      <c r="P175" s="12"/>
      <c r="Q175" s="12"/>
      <c r="R175" s="12"/>
      <c r="S175" s="12"/>
      <c r="T175" s="12"/>
      <c r="U175" s="12"/>
      <c r="V175" s="12"/>
      <c r="W175" s="12"/>
      <c r="X175" s="12"/>
      <c r="Y175" s="12"/>
      <c r="Z175" s="12"/>
      <c r="AA175" s="12"/>
      <c r="AB175" s="12"/>
      <c r="AC175" s="12"/>
      <c r="AD175" s="12"/>
    </row>
    <row r="176" spans="1:30" hidden="1" x14ac:dyDescent="0.15">
      <c r="P176" s="12"/>
      <c r="Q176" s="12"/>
      <c r="R176" s="12"/>
      <c r="S176" s="12"/>
      <c r="T176" s="12"/>
      <c r="U176" s="12"/>
      <c r="V176" s="12"/>
      <c r="W176" s="12"/>
      <c r="X176" s="12"/>
      <c r="Y176" s="12"/>
      <c r="Z176" s="12"/>
      <c r="AA176" s="12"/>
      <c r="AB176" s="12"/>
      <c r="AC176" s="12"/>
      <c r="AD176" s="12"/>
    </row>
    <row r="177" spans="16:30" hidden="1" x14ac:dyDescent="0.15">
      <c r="P177" s="12"/>
      <c r="Q177" s="12"/>
      <c r="R177" s="12"/>
      <c r="S177" s="12"/>
      <c r="T177" s="12"/>
      <c r="U177" s="12"/>
      <c r="V177" s="12"/>
      <c r="W177" s="12"/>
      <c r="X177" s="12"/>
      <c r="Y177" s="12"/>
      <c r="Z177" s="12"/>
      <c r="AA177" s="12"/>
      <c r="AB177" s="12"/>
      <c r="AC177" s="12"/>
      <c r="AD177" s="12"/>
    </row>
    <row r="178" spans="16:30" hidden="1" x14ac:dyDescent="0.15">
      <c r="P178" s="12"/>
      <c r="Q178" s="12"/>
      <c r="R178" s="12"/>
      <c r="S178" s="12"/>
      <c r="T178" s="12"/>
      <c r="U178" s="12"/>
      <c r="V178" s="12"/>
      <c r="W178" s="12"/>
      <c r="X178" s="12"/>
      <c r="Y178" s="12"/>
      <c r="Z178" s="12"/>
      <c r="AA178" s="12"/>
      <c r="AB178" s="12"/>
      <c r="AC178" s="12"/>
      <c r="AD178" s="12"/>
    </row>
    <row r="179" spans="16:30" hidden="1" x14ac:dyDescent="0.15">
      <c r="P179" s="12"/>
      <c r="Q179" s="12"/>
      <c r="R179" s="12"/>
      <c r="S179" s="12"/>
      <c r="T179" s="12"/>
      <c r="U179" s="12"/>
      <c r="V179" s="12"/>
      <c r="W179" s="12"/>
      <c r="X179" s="12"/>
      <c r="Y179" s="12"/>
      <c r="Z179" s="12"/>
      <c r="AA179" s="12"/>
      <c r="AB179" s="12"/>
      <c r="AC179" s="12"/>
      <c r="AD179" s="12"/>
    </row>
    <row r="180" spans="16:30" hidden="1" x14ac:dyDescent="0.15">
      <c r="P180" s="12"/>
      <c r="Q180" s="12"/>
      <c r="R180" s="12"/>
      <c r="S180" s="12"/>
      <c r="T180" s="12"/>
      <c r="U180" s="12"/>
      <c r="V180" s="12"/>
      <c r="W180" s="12"/>
      <c r="X180" s="12"/>
      <c r="Y180" s="12"/>
      <c r="Z180" s="12"/>
      <c r="AA180" s="12"/>
      <c r="AB180" s="12"/>
      <c r="AC180" s="12"/>
      <c r="AD180" s="12"/>
    </row>
    <row r="181" spans="16:30" hidden="1" x14ac:dyDescent="0.15">
      <c r="P181" s="12"/>
      <c r="Q181" s="12"/>
      <c r="R181" s="12"/>
      <c r="S181" s="12"/>
      <c r="T181" s="12"/>
      <c r="U181" s="12"/>
      <c r="V181" s="12"/>
      <c r="W181" s="12"/>
      <c r="X181" s="12"/>
      <c r="Y181" s="12"/>
      <c r="Z181" s="12"/>
      <c r="AA181" s="12"/>
      <c r="AB181" s="12"/>
      <c r="AC181" s="12"/>
      <c r="AD181" s="12"/>
    </row>
    <row r="182" spans="16:30" hidden="1" x14ac:dyDescent="0.15">
      <c r="P182" s="12"/>
      <c r="Q182" s="12"/>
      <c r="R182" s="12"/>
      <c r="S182" s="12"/>
      <c r="T182" s="12"/>
      <c r="U182" s="12"/>
      <c r="V182" s="12"/>
      <c r="W182" s="12"/>
      <c r="X182" s="12"/>
      <c r="Y182" s="12"/>
      <c r="Z182" s="12"/>
      <c r="AA182" s="12"/>
      <c r="AB182" s="12"/>
      <c r="AC182" s="12"/>
      <c r="AD182" s="12"/>
    </row>
    <row r="183" spans="16:30" hidden="1" x14ac:dyDescent="0.15">
      <c r="P183" s="12"/>
      <c r="Q183" s="12"/>
      <c r="R183" s="12"/>
      <c r="S183" s="12"/>
      <c r="T183" s="12"/>
      <c r="U183" s="12"/>
      <c r="V183" s="12"/>
      <c r="W183" s="12"/>
      <c r="X183" s="12"/>
      <c r="Y183" s="12"/>
      <c r="Z183" s="12"/>
      <c r="AA183" s="12"/>
      <c r="AB183" s="12"/>
      <c r="AC183" s="12"/>
      <c r="AD183" s="12"/>
    </row>
    <row r="184" spans="16:30" hidden="1" x14ac:dyDescent="0.15">
      <c r="P184" s="12"/>
      <c r="Q184" s="12"/>
      <c r="R184" s="12"/>
      <c r="S184" s="12"/>
      <c r="T184" s="12"/>
      <c r="U184" s="12"/>
      <c r="V184" s="12"/>
      <c r="W184" s="12"/>
      <c r="X184" s="12"/>
      <c r="Y184" s="12"/>
      <c r="Z184" s="12"/>
      <c r="AA184" s="12"/>
      <c r="AB184" s="12"/>
      <c r="AC184" s="12"/>
      <c r="AD184" s="12"/>
    </row>
    <row r="185" spans="16:30" hidden="1" x14ac:dyDescent="0.15">
      <c r="P185" s="12"/>
      <c r="Q185" s="12"/>
      <c r="R185" s="12"/>
      <c r="S185" s="12"/>
      <c r="T185" s="12"/>
      <c r="U185" s="12"/>
      <c r="V185" s="12"/>
      <c r="W185" s="12"/>
      <c r="X185" s="12"/>
      <c r="Y185" s="12"/>
      <c r="Z185" s="12"/>
      <c r="AA185" s="12"/>
      <c r="AB185" s="12"/>
      <c r="AC185" s="12"/>
      <c r="AD185" s="12"/>
    </row>
    <row r="186" spans="16:30" hidden="1" x14ac:dyDescent="0.15">
      <c r="P186" s="12"/>
      <c r="Q186" s="12"/>
      <c r="R186" s="12"/>
      <c r="S186" s="12"/>
      <c r="T186" s="12"/>
      <c r="U186" s="12"/>
      <c r="V186" s="12"/>
      <c r="W186" s="12"/>
      <c r="X186" s="12"/>
      <c r="Y186" s="12"/>
      <c r="Z186" s="12"/>
      <c r="AA186" s="12"/>
      <c r="AB186" s="12"/>
      <c r="AC186" s="12"/>
      <c r="AD186" s="12"/>
    </row>
    <row r="187" spans="16:30" hidden="1" x14ac:dyDescent="0.15">
      <c r="P187" s="12"/>
      <c r="Q187" s="12"/>
      <c r="R187" s="12"/>
      <c r="S187" s="12"/>
      <c r="T187" s="12"/>
      <c r="U187" s="12"/>
      <c r="V187" s="12"/>
      <c r="W187" s="12"/>
      <c r="X187" s="12"/>
      <c r="Y187" s="12"/>
      <c r="Z187" s="12"/>
      <c r="AA187" s="12"/>
      <c r="AB187" s="12"/>
      <c r="AC187" s="12"/>
      <c r="AD187" s="12"/>
    </row>
    <row r="188" spans="16:30" hidden="1" x14ac:dyDescent="0.15">
      <c r="P188" s="12"/>
      <c r="Q188" s="12"/>
      <c r="R188" s="12"/>
      <c r="S188" s="12"/>
      <c r="T188" s="12"/>
      <c r="U188" s="12"/>
      <c r="V188" s="12"/>
      <c r="W188" s="12"/>
      <c r="X188" s="12"/>
      <c r="Y188" s="12"/>
      <c r="Z188" s="12"/>
      <c r="AA188" s="12"/>
      <c r="AB188" s="12"/>
      <c r="AC188" s="12"/>
      <c r="AD188" s="12"/>
    </row>
    <row r="189" spans="16:30" hidden="1" x14ac:dyDescent="0.15">
      <c r="P189" s="12"/>
      <c r="Q189" s="12"/>
      <c r="R189" s="12"/>
      <c r="S189" s="12"/>
      <c r="T189" s="12"/>
      <c r="U189" s="12"/>
      <c r="V189" s="12"/>
      <c r="W189" s="12"/>
      <c r="X189" s="12"/>
      <c r="Y189" s="12"/>
      <c r="Z189" s="12"/>
      <c r="AA189" s="12"/>
      <c r="AB189" s="12"/>
      <c r="AC189" s="12"/>
      <c r="AD189" s="12"/>
    </row>
    <row r="190" spans="16:30" hidden="1" x14ac:dyDescent="0.15">
      <c r="P190" s="12"/>
      <c r="Q190" s="12"/>
      <c r="R190" s="12"/>
      <c r="S190" s="12"/>
      <c r="T190" s="12"/>
      <c r="U190" s="12"/>
      <c r="V190" s="12"/>
      <c r="W190" s="12"/>
      <c r="X190" s="12"/>
      <c r="Y190" s="12"/>
      <c r="Z190" s="12"/>
      <c r="AA190" s="12"/>
      <c r="AB190" s="12"/>
      <c r="AC190" s="12"/>
      <c r="AD190" s="12"/>
    </row>
    <row r="191" spans="16:30" hidden="1" x14ac:dyDescent="0.15">
      <c r="P191" s="12"/>
      <c r="Q191" s="12"/>
      <c r="R191" s="12"/>
      <c r="S191" s="12"/>
      <c r="T191" s="12"/>
      <c r="U191" s="12"/>
      <c r="V191" s="12"/>
      <c r="W191" s="12"/>
      <c r="X191" s="12"/>
      <c r="Y191" s="12"/>
      <c r="Z191" s="12"/>
      <c r="AA191" s="12"/>
      <c r="AB191" s="12"/>
      <c r="AC191" s="12"/>
      <c r="AD191" s="12"/>
    </row>
    <row r="192" spans="16:30" hidden="1" x14ac:dyDescent="0.15">
      <c r="P192" s="12"/>
      <c r="Q192" s="12"/>
      <c r="R192" s="12"/>
      <c r="S192" s="12"/>
      <c r="T192" s="12"/>
      <c r="U192" s="12"/>
      <c r="V192" s="12"/>
      <c r="W192" s="12"/>
      <c r="X192" s="12"/>
      <c r="Y192" s="12"/>
      <c r="Z192" s="12"/>
      <c r="AA192" s="12"/>
      <c r="AB192" s="12"/>
      <c r="AC192" s="12"/>
      <c r="AD192" s="12"/>
    </row>
    <row r="193" spans="16:30" hidden="1" x14ac:dyDescent="0.15">
      <c r="P193" s="12"/>
      <c r="Q193" s="12"/>
      <c r="R193" s="12"/>
      <c r="S193" s="12"/>
      <c r="T193" s="12"/>
      <c r="U193" s="12"/>
      <c r="V193" s="12"/>
      <c r="W193" s="12"/>
      <c r="X193" s="12"/>
      <c r="Y193" s="12"/>
      <c r="Z193" s="12"/>
      <c r="AA193" s="12"/>
      <c r="AB193" s="12"/>
      <c r="AC193" s="12"/>
      <c r="AD193" s="12"/>
    </row>
    <row r="194" spans="16:30" hidden="1" x14ac:dyDescent="0.15">
      <c r="P194" s="12"/>
      <c r="Q194" s="12"/>
      <c r="R194" s="12"/>
      <c r="S194" s="12"/>
      <c r="T194" s="12"/>
      <c r="U194" s="12"/>
      <c r="V194" s="12"/>
      <c r="W194" s="12"/>
      <c r="X194" s="12"/>
      <c r="Y194" s="12"/>
      <c r="Z194" s="12"/>
      <c r="AA194" s="12"/>
      <c r="AB194" s="12"/>
      <c r="AC194" s="12"/>
      <c r="AD194" s="12"/>
    </row>
    <row r="195" spans="16:30" hidden="1" x14ac:dyDescent="0.15">
      <c r="P195" s="12"/>
      <c r="Q195" s="12"/>
      <c r="R195" s="12"/>
      <c r="S195" s="12"/>
      <c r="T195" s="12"/>
      <c r="U195" s="12"/>
      <c r="V195" s="12"/>
      <c r="W195" s="12"/>
      <c r="X195" s="12"/>
      <c r="Y195" s="12"/>
      <c r="Z195" s="12"/>
      <c r="AA195" s="12"/>
      <c r="AB195" s="12"/>
      <c r="AC195" s="12"/>
      <c r="AD195" s="12"/>
    </row>
    <row r="196" spans="16:30" hidden="1" x14ac:dyDescent="0.15">
      <c r="P196" s="12"/>
      <c r="Q196" s="12"/>
      <c r="R196" s="12"/>
      <c r="S196" s="12"/>
      <c r="T196" s="12"/>
      <c r="U196" s="12"/>
      <c r="V196" s="12"/>
      <c r="W196" s="12"/>
      <c r="X196" s="12"/>
      <c r="Y196" s="12"/>
      <c r="Z196" s="12"/>
      <c r="AA196" s="12"/>
      <c r="AB196" s="12"/>
      <c r="AC196" s="12"/>
      <c r="AD196" s="12"/>
    </row>
    <row r="197" spans="16:30" hidden="1" x14ac:dyDescent="0.15">
      <c r="P197" s="12"/>
      <c r="Q197" s="12"/>
      <c r="R197" s="12"/>
      <c r="S197" s="12"/>
      <c r="T197" s="12"/>
      <c r="U197" s="12"/>
      <c r="V197" s="12"/>
      <c r="W197" s="12"/>
      <c r="X197" s="12"/>
      <c r="Y197" s="12"/>
      <c r="Z197" s="12"/>
      <c r="AA197" s="12"/>
      <c r="AB197" s="12"/>
      <c r="AC197" s="12"/>
      <c r="AD197" s="12"/>
    </row>
    <row r="198" spans="16:30" hidden="1" x14ac:dyDescent="0.15">
      <c r="P198" s="12"/>
      <c r="Q198" s="12"/>
      <c r="R198" s="12"/>
      <c r="S198" s="12"/>
      <c r="T198" s="12"/>
      <c r="U198" s="12"/>
      <c r="V198" s="12"/>
      <c r="W198" s="12"/>
      <c r="X198" s="12"/>
      <c r="Y198" s="12"/>
      <c r="Z198" s="12"/>
      <c r="AA198" s="12"/>
      <c r="AB198" s="12"/>
      <c r="AC198" s="12"/>
      <c r="AD198" s="12"/>
    </row>
    <row r="199" spans="16:30" hidden="1" x14ac:dyDescent="0.15">
      <c r="P199" s="12"/>
      <c r="Q199" s="12"/>
      <c r="R199" s="12"/>
      <c r="S199" s="12"/>
      <c r="T199" s="12"/>
      <c r="U199" s="12"/>
      <c r="V199" s="12"/>
      <c r="W199" s="12"/>
      <c r="X199" s="12"/>
      <c r="Y199" s="12"/>
      <c r="Z199" s="12"/>
      <c r="AA199" s="12"/>
      <c r="AB199" s="12"/>
      <c r="AC199" s="12"/>
      <c r="AD199" s="12"/>
    </row>
    <row r="200" spans="16:30" hidden="1" x14ac:dyDescent="0.15">
      <c r="P200" s="12"/>
      <c r="Q200" s="12"/>
      <c r="R200" s="12"/>
      <c r="S200" s="12"/>
      <c r="T200" s="12"/>
      <c r="U200" s="12"/>
      <c r="V200" s="12"/>
      <c r="W200" s="12"/>
      <c r="X200" s="12"/>
      <c r="Y200" s="12"/>
      <c r="Z200" s="12"/>
      <c r="AA200" s="12"/>
      <c r="AB200" s="12"/>
      <c r="AC200" s="12"/>
      <c r="AD200" s="12"/>
    </row>
    <row r="201" spans="16:30" hidden="1" x14ac:dyDescent="0.15">
      <c r="P201" s="12"/>
      <c r="Q201" s="12"/>
      <c r="R201" s="12"/>
      <c r="S201" s="12"/>
      <c r="T201" s="12"/>
      <c r="U201" s="12"/>
      <c r="V201" s="12"/>
      <c r="W201" s="12"/>
      <c r="X201" s="12"/>
      <c r="Y201" s="12"/>
      <c r="Z201" s="12"/>
      <c r="AA201" s="12"/>
      <c r="AB201" s="12"/>
      <c r="AC201" s="12"/>
      <c r="AD201" s="12"/>
    </row>
    <row r="202" spans="16:30" hidden="1" x14ac:dyDescent="0.15">
      <c r="P202" s="12"/>
      <c r="Q202" s="12"/>
      <c r="R202" s="12"/>
      <c r="S202" s="12"/>
      <c r="T202" s="12"/>
      <c r="U202" s="12"/>
      <c r="V202" s="12"/>
      <c r="W202" s="12"/>
      <c r="X202" s="12"/>
      <c r="Y202" s="12"/>
      <c r="Z202" s="12"/>
      <c r="AA202" s="12"/>
      <c r="AB202" s="12"/>
      <c r="AC202" s="12"/>
      <c r="AD202" s="12"/>
    </row>
    <row r="203" spans="16:30" hidden="1" x14ac:dyDescent="0.15">
      <c r="P203" s="12"/>
      <c r="Q203" s="12"/>
      <c r="R203" s="12"/>
      <c r="S203" s="12"/>
      <c r="T203" s="12"/>
      <c r="U203" s="12"/>
      <c r="V203" s="12"/>
      <c r="W203" s="12"/>
      <c r="X203" s="12"/>
      <c r="Y203" s="12"/>
      <c r="Z203" s="12"/>
      <c r="AA203" s="12"/>
      <c r="AB203" s="12"/>
      <c r="AC203" s="12"/>
      <c r="AD203" s="12"/>
    </row>
    <row r="204" spans="16:30" hidden="1" x14ac:dyDescent="0.15">
      <c r="P204" s="12"/>
      <c r="Q204" s="12"/>
      <c r="R204" s="12"/>
      <c r="S204" s="12"/>
      <c r="T204" s="12"/>
      <c r="U204" s="12"/>
      <c r="V204" s="12"/>
      <c r="W204" s="12"/>
      <c r="X204" s="12"/>
      <c r="Y204" s="12"/>
      <c r="Z204" s="12"/>
      <c r="AA204" s="12"/>
      <c r="AB204" s="12"/>
      <c r="AC204" s="12"/>
      <c r="AD204" s="12"/>
    </row>
    <row r="205" spans="16:30" hidden="1" x14ac:dyDescent="0.15"/>
    <row r="206" spans="16:30" hidden="1" x14ac:dyDescent="0.15"/>
    <row r="207" spans="16:30" hidden="1" x14ac:dyDescent="0.15"/>
    <row r="208" spans="16:30" hidden="1" x14ac:dyDescent="0.15"/>
    <row r="209" hidden="1" x14ac:dyDescent="0.15"/>
    <row r="210" hidden="1" x14ac:dyDescent="0.15"/>
    <row r="211" hidden="1" x14ac:dyDescent="0.15"/>
    <row r="212" hidden="1" x14ac:dyDescent="0.15"/>
    <row r="213" hidden="1" x14ac:dyDescent="0.15"/>
    <row r="214" hidden="1" x14ac:dyDescent="0.15"/>
    <row r="215" hidden="1" x14ac:dyDescent="0.15"/>
    <row r="216" hidden="1" x14ac:dyDescent="0.15"/>
    <row r="217" hidden="1" x14ac:dyDescent="0.15"/>
    <row r="218" hidden="1" x14ac:dyDescent="0.15"/>
    <row r="219" hidden="1" x14ac:dyDescent="0.15"/>
    <row r="220" hidden="1" x14ac:dyDescent="0.15"/>
    <row r="221" hidden="1" x14ac:dyDescent="0.15"/>
    <row r="222" hidden="1" x14ac:dyDescent="0.15"/>
    <row r="223" hidden="1" x14ac:dyDescent="0.15"/>
    <row r="224" hidden="1" x14ac:dyDescent="0.15"/>
    <row r="225" hidden="1" x14ac:dyDescent="0.15"/>
    <row r="226" hidden="1" x14ac:dyDescent="0.15"/>
    <row r="227" hidden="1" x14ac:dyDescent="0.15"/>
    <row r="228" hidden="1" x14ac:dyDescent="0.15"/>
    <row r="229" hidden="1" x14ac:dyDescent="0.15"/>
    <row r="230" hidden="1" x14ac:dyDescent="0.15"/>
    <row r="231" hidden="1" x14ac:dyDescent="0.15"/>
    <row r="232" hidden="1" x14ac:dyDescent="0.15"/>
    <row r="233" hidden="1" x14ac:dyDescent="0.15"/>
    <row r="234" hidden="1" x14ac:dyDescent="0.15"/>
    <row r="235" hidden="1" x14ac:dyDescent="0.15"/>
    <row r="236" hidden="1" x14ac:dyDescent="0.15"/>
    <row r="237" hidden="1" x14ac:dyDescent="0.15"/>
    <row r="238" hidden="1" x14ac:dyDescent="0.15"/>
    <row r="239" hidden="1" x14ac:dyDescent="0.15"/>
    <row r="240" hidden="1" x14ac:dyDescent="0.15"/>
    <row r="241" hidden="1" x14ac:dyDescent="0.15"/>
    <row r="242" hidden="1" x14ac:dyDescent="0.15"/>
    <row r="243" hidden="1" x14ac:dyDescent="0.15"/>
    <row r="244" hidden="1" x14ac:dyDescent="0.15"/>
    <row r="245" hidden="1" x14ac:dyDescent="0.15"/>
    <row r="246" hidden="1" x14ac:dyDescent="0.15"/>
    <row r="247" hidden="1" x14ac:dyDescent="0.15"/>
    <row r="248" hidden="1" x14ac:dyDescent="0.15"/>
    <row r="249" hidden="1" x14ac:dyDescent="0.15"/>
    <row r="250" hidden="1" x14ac:dyDescent="0.15"/>
    <row r="251" hidden="1" x14ac:dyDescent="0.15"/>
    <row r="252" hidden="1" x14ac:dyDescent="0.15"/>
    <row r="253" hidden="1" x14ac:dyDescent="0.15"/>
    <row r="254" hidden="1" x14ac:dyDescent="0.15"/>
    <row r="255" hidden="1" x14ac:dyDescent="0.15"/>
    <row r="256" hidden="1" x14ac:dyDescent="0.15"/>
    <row r="257" hidden="1" x14ac:dyDescent="0.15"/>
    <row r="258" hidden="1" x14ac:dyDescent="0.15"/>
    <row r="259" hidden="1" x14ac:dyDescent="0.15"/>
    <row r="260" hidden="1" x14ac:dyDescent="0.15"/>
    <row r="261" hidden="1" x14ac:dyDescent="0.15"/>
    <row r="262" hidden="1" x14ac:dyDescent="0.15"/>
    <row r="263" hidden="1" x14ac:dyDescent="0.15"/>
    <row r="264" hidden="1" x14ac:dyDescent="0.15"/>
    <row r="265" hidden="1" x14ac:dyDescent="0.15"/>
    <row r="266" hidden="1" x14ac:dyDescent="0.15"/>
    <row r="267" hidden="1" x14ac:dyDescent="0.15"/>
    <row r="268" hidden="1" x14ac:dyDescent="0.15"/>
    <row r="269" hidden="1" x14ac:dyDescent="0.15"/>
    <row r="270" hidden="1" x14ac:dyDescent="0.15"/>
    <row r="271" hidden="1" x14ac:dyDescent="0.15"/>
    <row r="272" hidden="1" x14ac:dyDescent="0.15"/>
    <row r="273" hidden="1" x14ac:dyDescent="0.15"/>
    <row r="274" hidden="1" x14ac:dyDescent="0.15"/>
    <row r="275" hidden="1" x14ac:dyDescent="0.15"/>
    <row r="276" hidden="1" x14ac:dyDescent="0.15"/>
    <row r="277" hidden="1" x14ac:dyDescent="0.15"/>
    <row r="278" hidden="1" x14ac:dyDescent="0.15"/>
    <row r="279" hidden="1" x14ac:dyDescent="0.15"/>
    <row r="280" hidden="1" x14ac:dyDescent="0.15"/>
    <row r="281" hidden="1" x14ac:dyDescent="0.15"/>
    <row r="282" hidden="1" x14ac:dyDescent="0.15"/>
    <row r="283" hidden="1" x14ac:dyDescent="0.15"/>
    <row r="284" hidden="1" x14ac:dyDescent="0.15"/>
    <row r="285" hidden="1" x14ac:dyDescent="0.15"/>
    <row r="286" hidden="1" x14ac:dyDescent="0.15"/>
    <row r="287" hidden="1" x14ac:dyDescent="0.15"/>
    <row r="288" hidden="1" x14ac:dyDescent="0.15"/>
    <row r="289" hidden="1" x14ac:dyDescent="0.15"/>
    <row r="290" hidden="1" x14ac:dyDescent="0.15"/>
    <row r="291" hidden="1" x14ac:dyDescent="0.15"/>
    <row r="292" hidden="1" x14ac:dyDescent="0.15"/>
    <row r="293" hidden="1" x14ac:dyDescent="0.15"/>
    <row r="294" hidden="1" x14ac:dyDescent="0.15"/>
    <row r="295" hidden="1" x14ac:dyDescent="0.15"/>
    <row r="296" hidden="1" x14ac:dyDescent="0.15"/>
    <row r="297" hidden="1" x14ac:dyDescent="0.15"/>
    <row r="298" hidden="1" x14ac:dyDescent="0.15"/>
    <row r="299" hidden="1" x14ac:dyDescent="0.15"/>
    <row r="300" hidden="1" x14ac:dyDescent="0.15"/>
    <row r="301" hidden="1" x14ac:dyDescent="0.15"/>
    <row r="302" hidden="1" x14ac:dyDescent="0.15"/>
    <row r="303" hidden="1" x14ac:dyDescent="0.15"/>
    <row r="304" hidden="1" x14ac:dyDescent="0.15"/>
    <row r="305" hidden="1" x14ac:dyDescent="0.15"/>
    <row r="306" hidden="1" x14ac:dyDescent="0.15"/>
    <row r="307" hidden="1" x14ac:dyDescent="0.15"/>
    <row r="308" hidden="1" x14ac:dyDescent="0.15"/>
    <row r="309" hidden="1" x14ac:dyDescent="0.15"/>
    <row r="310" hidden="1" x14ac:dyDescent="0.15"/>
    <row r="311" hidden="1" x14ac:dyDescent="0.15"/>
    <row r="312" hidden="1" x14ac:dyDescent="0.15"/>
    <row r="313" hidden="1" x14ac:dyDescent="0.15"/>
    <row r="314" hidden="1" x14ac:dyDescent="0.15"/>
    <row r="315" hidden="1" x14ac:dyDescent="0.15"/>
    <row r="316" hidden="1" x14ac:dyDescent="0.15"/>
    <row r="317" hidden="1" x14ac:dyDescent="0.15"/>
    <row r="318" hidden="1" x14ac:dyDescent="0.15"/>
    <row r="319" hidden="1" x14ac:dyDescent="0.15"/>
    <row r="320" hidden="1" x14ac:dyDescent="0.15"/>
    <row r="321" hidden="1" x14ac:dyDescent="0.15"/>
    <row r="322" hidden="1" x14ac:dyDescent="0.15"/>
    <row r="323" hidden="1" x14ac:dyDescent="0.15"/>
    <row r="324" hidden="1" x14ac:dyDescent="0.15"/>
    <row r="325" hidden="1" x14ac:dyDescent="0.15"/>
    <row r="326" hidden="1" x14ac:dyDescent="0.15"/>
    <row r="327" hidden="1" x14ac:dyDescent="0.15"/>
    <row r="328" hidden="1" x14ac:dyDescent="0.15"/>
    <row r="329" hidden="1" x14ac:dyDescent="0.15"/>
    <row r="330" hidden="1" x14ac:dyDescent="0.15"/>
    <row r="331" hidden="1" x14ac:dyDescent="0.15"/>
    <row r="332" hidden="1" x14ac:dyDescent="0.15"/>
    <row r="333" hidden="1" x14ac:dyDescent="0.15"/>
    <row r="334" hidden="1" x14ac:dyDescent="0.15"/>
    <row r="335" hidden="1" x14ac:dyDescent="0.15"/>
    <row r="336" hidden="1" x14ac:dyDescent="0.15"/>
    <row r="337" hidden="1" x14ac:dyDescent="0.15"/>
    <row r="338" hidden="1" x14ac:dyDescent="0.15"/>
    <row r="339" hidden="1" x14ac:dyDescent="0.15"/>
    <row r="340" hidden="1" x14ac:dyDescent="0.15"/>
    <row r="341" hidden="1" x14ac:dyDescent="0.15"/>
    <row r="342" hidden="1" x14ac:dyDescent="0.15"/>
    <row r="343" hidden="1" x14ac:dyDescent="0.15"/>
    <row r="344" hidden="1" x14ac:dyDescent="0.15"/>
    <row r="345" hidden="1" x14ac:dyDescent="0.15"/>
    <row r="346" hidden="1" x14ac:dyDescent="0.15"/>
    <row r="347" hidden="1" x14ac:dyDescent="0.15"/>
    <row r="348" hidden="1" x14ac:dyDescent="0.15"/>
    <row r="349" hidden="1" x14ac:dyDescent="0.15"/>
    <row r="350" hidden="1" x14ac:dyDescent="0.15"/>
    <row r="351" hidden="1" x14ac:dyDescent="0.15"/>
    <row r="352" hidden="1" x14ac:dyDescent="0.15"/>
    <row r="353" hidden="1" x14ac:dyDescent="0.15"/>
    <row r="354" hidden="1" x14ac:dyDescent="0.15"/>
    <row r="355" hidden="1" x14ac:dyDescent="0.15"/>
    <row r="356" hidden="1" x14ac:dyDescent="0.15"/>
    <row r="357" hidden="1" x14ac:dyDescent="0.15"/>
    <row r="358" hidden="1" x14ac:dyDescent="0.15"/>
    <row r="359" hidden="1" x14ac:dyDescent="0.15"/>
    <row r="360" hidden="1" x14ac:dyDescent="0.15"/>
    <row r="361" hidden="1" x14ac:dyDescent="0.15"/>
    <row r="362" hidden="1" x14ac:dyDescent="0.15"/>
    <row r="363" hidden="1" x14ac:dyDescent="0.15"/>
    <row r="364" hidden="1" x14ac:dyDescent="0.15"/>
    <row r="365" hidden="1" x14ac:dyDescent="0.15"/>
    <row r="366" hidden="1" x14ac:dyDescent="0.15"/>
    <row r="367" hidden="1" x14ac:dyDescent="0.15"/>
    <row r="368" hidden="1" x14ac:dyDescent="0.15"/>
    <row r="369" hidden="1" x14ac:dyDescent="0.15"/>
    <row r="370" hidden="1" x14ac:dyDescent="0.15"/>
    <row r="371" hidden="1" x14ac:dyDescent="0.15"/>
    <row r="372" hidden="1" x14ac:dyDescent="0.15"/>
    <row r="373" hidden="1" x14ac:dyDescent="0.15"/>
    <row r="374" hidden="1" x14ac:dyDescent="0.15"/>
    <row r="375" hidden="1" x14ac:dyDescent="0.15"/>
    <row r="376" hidden="1" x14ac:dyDescent="0.15"/>
    <row r="377" hidden="1" x14ac:dyDescent="0.15"/>
    <row r="378" hidden="1" x14ac:dyDescent="0.15"/>
    <row r="379" hidden="1" x14ac:dyDescent="0.15"/>
    <row r="380" hidden="1" x14ac:dyDescent="0.15"/>
    <row r="381" hidden="1" x14ac:dyDescent="0.15"/>
    <row r="382" hidden="1" x14ac:dyDescent="0.15"/>
    <row r="383" hidden="1" x14ac:dyDescent="0.15"/>
    <row r="384" hidden="1" x14ac:dyDescent="0.15"/>
    <row r="385" hidden="1" x14ac:dyDescent="0.15"/>
    <row r="386" hidden="1" x14ac:dyDescent="0.15"/>
    <row r="387" hidden="1" x14ac:dyDescent="0.15"/>
    <row r="388" hidden="1" x14ac:dyDescent="0.15"/>
    <row r="389" hidden="1" x14ac:dyDescent="0.15"/>
    <row r="390" hidden="1" x14ac:dyDescent="0.15"/>
    <row r="391" hidden="1" x14ac:dyDescent="0.15"/>
    <row r="392" hidden="1" x14ac:dyDescent="0.15"/>
    <row r="393" hidden="1" x14ac:dyDescent="0.15"/>
    <row r="394" hidden="1" x14ac:dyDescent="0.15"/>
    <row r="395" hidden="1" x14ac:dyDescent="0.15"/>
    <row r="396" hidden="1" x14ac:dyDescent="0.15"/>
    <row r="397" hidden="1" x14ac:dyDescent="0.15"/>
    <row r="398" hidden="1" x14ac:dyDescent="0.15"/>
    <row r="399" hidden="1" x14ac:dyDescent="0.15"/>
    <row r="400" hidden="1" x14ac:dyDescent="0.15"/>
    <row r="401" hidden="1" x14ac:dyDescent="0.15"/>
    <row r="402" hidden="1" x14ac:dyDescent="0.15"/>
    <row r="403" hidden="1" x14ac:dyDescent="0.15"/>
    <row r="404" hidden="1" x14ac:dyDescent="0.15"/>
    <row r="405" hidden="1" x14ac:dyDescent="0.15"/>
    <row r="406" hidden="1" x14ac:dyDescent="0.15"/>
    <row r="407" hidden="1" x14ac:dyDescent="0.15"/>
    <row r="408" hidden="1" x14ac:dyDescent="0.15"/>
    <row r="409" hidden="1" x14ac:dyDescent="0.15"/>
    <row r="410" hidden="1" x14ac:dyDescent="0.15"/>
    <row r="411" hidden="1" x14ac:dyDescent="0.15"/>
    <row r="412" hidden="1" x14ac:dyDescent="0.15"/>
    <row r="413" hidden="1" x14ac:dyDescent="0.15"/>
    <row r="414" hidden="1" x14ac:dyDescent="0.15"/>
    <row r="415" hidden="1" x14ac:dyDescent="0.15"/>
    <row r="416" hidden="1" x14ac:dyDescent="0.15"/>
    <row r="417" hidden="1" x14ac:dyDescent="0.15"/>
    <row r="418" hidden="1" x14ac:dyDescent="0.15"/>
    <row r="419" hidden="1" x14ac:dyDescent="0.15"/>
    <row r="420" hidden="1" x14ac:dyDescent="0.15"/>
    <row r="421" hidden="1" x14ac:dyDescent="0.15"/>
    <row r="422" hidden="1" x14ac:dyDescent="0.15"/>
    <row r="423" hidden="1" x14ac:dyDescent="0.15"/>
    <row r="424" hidden="1" x14ac:dyDescent="0.15"/>
    <row r="425" hidden="1" x14ac:dyDescent="0.15"/>
    <row r="426" hidden="1" x14ac:dyDescent="0.15"/>
    <row r="427" hidden="1" x14ac:dyDescent="0.15"/>
    <row r="428" hidden="1" x14ac:dyDescent="0.15"/>
    <row r="429" hidden="1" x14ac:dyDescent="0.15"/>
    <row r="430" hidden="1" x14ac:dyDescent="0.15"/>
    <row r="431" hidden="1" x14ac:dyDescent="0.15"/>
    <row r="432" hidden="1" x14ac:dyDescent="0.15"/>
    <row r="433" hidden="1" x14ac:dyDescent="0.15"/>
    <row r="434" hidden="1" x14ac:dyDescent="0.15"/>
    <row r="435" hidden="1" x14ac:dyDescent="0.15"/>
    <row r="436" hidden="1" x14ac:dyDescent="0.15"/>
    <row r="437" hidden="1" x14ac:dyDescent="0.15"/>
    <row r="438" hidden="1" x14ac:dyDescent="0.15"/>
    <row r="439" hidden="1" x14ac:dyDescent="0.15"/>
    <row r="440" hidden="1" x14ac:dyDescent="0.15"/>
    <row r="441" hidden="1" x14ac:dyDescent="0.15"/>
    <row r="442" hidden="1" x14ac:dyDescent="0.15"/>
    <row r="443" hidden="1" x14ac:dyDescent="0.15"/>
    <row r="444" hidden="1" x14ac:dyDescent="0.15"/>
    <row r="445" hidden="1" x14ac:dyDescent="0.15"/>
    <row r="446" hidden="1" x14ac:dyDescent="0.15"/>
    <row r="447" hidden="1" x14ac:dyDescent="0.15"/>
    <row r="448" hidden="1" x14ac:dyDescent="0.15"/>
    <row r="449" hidden="1" x14ac:dyDescent="0.15"/>
    <row r="450" hidden="1" x14ac:dyDescent="0.15"/>
    <row r="451" hidden="1" x14ac:dyDescent="0.15"/>
    <row r="452" hidden="1" x14ac:dyDescent="0.15"/>
    <row r="453" hidden="1" x14ac:dyDescent="0.15"/>
    <row r="454" hidden="1" x14ac:dyDescent="0.15"/>
    <row r="455" hidden="1" x14ac:dyDescent="0.15"/>
    <row r="456" hidden="1" x14ac:dyDescent="0.15"/>
    <row r="457" hidden="1" x14ac:dyDescent="0.15"/>
    <row r="458" hidden="1" x14ac:dyDescent="0.15"/>
    <row r="459" hidden="1" x14ac:dyDescent="0.15"/>
    <row r="460" hidden="1" x14ac:dyDescent="0.15"/>
    <row r="461" hidden="1" x14ac:dyDescent="0.15"/>
    <row r="462" hidden="1" x14ac:dyDescent="0.15"/>
    <row r="463" hidden="1" x14ac:dyDescent="0.15"/>
    <row r="464" hidden="1" x14ac:dyDescent="0.15"/>
    <row r="465" hidden="1" x14ac:dyDescent="0.15"/>
    <row r="466" hidden="1" x14ac:dyDescent="0.15"/>
    <row r="467" hidden="1" x14ac:dyDescent="0.15"/>
    <row r="468" hidden="1" x14ac:dyDescent="0.15"/>
    <row r="469" hidden="1" x14ac:dyDescent="0.15"/>
    <row r="470" hidden="1" x14ac:dyDescent="0.15"/>
    <row r="471" hidden="1" x14ac:dyDescent="0.15"/>
    <row r="472" hidden="1" x14ac:dyDescent="0.15"/>
    <row r="473" hidden="1" x14ac:dyDescent="0.15"/>
    <row r="474" hidden="1" x14ac:dyDescent="0.15"/>
    <row r="475" hidden="1" x14ac:dyDescent="0.15"/>
    <row r="476" hidden="1" x14ac:dyDescent="0.15"/>
    <row r="477" hidden="1" x14ac:dyDescent="0.15"/>
    <row r="478" hidden="1" x14ac:dyDescent="0.15"/>
    <row r="479" hidden="1" x14ac:dyDescent="0.15"/>
    <row r="480" hidden="1" x14ac:dyDescent="0.15"/>
    <row r="481" hidden="1" x14ac:dyDescent="0.15"/>
    <row r="482" hidden="1" x14ac:dyDescent="0.15"/>
    <row r="483" hidden="1" x14ac:dyDescent="0.15"/>
    <row r="484" hidden="1" x14ac:dyDescent="0.15"/>
    <row r="485" hidden="1" x14ac:dyDescent="0.15"/>
    <row r="486" hidden="1" x14ac:dyDescent="0.15"/>
    <row r="487" hidden="1" x14ac:dyDescent="0.15"/>
    <row r="488" hidden="1" x14ac:dyDescent="0.15"/>
    <row r="489" hidden="1" x14ac:dyDescent="0.15"/>
    <row r="490" hidden="1" x14ac:dyDescent="0.15"/>
    <row r="491" hidden="1" x14ac:dyDescent="0.15"/>
    <row r="492" hidden="1" x14ac:dyDescent="0.15"/>
    <row r="493" hidden="1" x14ac:dyDescent="0.15"/>
    <row r="494" hidden="1" x14ac:dyDescent="0.15"/>
    <row r="495" hidden="1" x14ac:dyDescent="0.15"/>
    <row r="496" hidden="1" x14ac:dyDescent="0.15"/>
    <row r="497" hidden="1" x14ac:dyDescent="0.15"/>
    <row r="498" hidden="1" x14ac:dyDescent="0.15"/>
    <row r="499" hidden="1" x14ac:dyDescent="0.15"/>
    <row r="500" hidden="1" x14ac:dyDescent="0.15"/>
    <row r="501" hidden="1" x14ac:dyDescent="0.15"/>
    <row r="502" hidden="1" x14ac:dyDescent="0.15"/>
    <row r="503" hidden="1" x14ac:dyDescent="0.15"/>
    <row r="504" hidden="1" x14ac:dyDescent="0.15"/>
    <row r="505" hidden="1" x14ac:dyDescent="0.15"/>
    <row r="506" hidden="1" x14ac:dyDescent="0.15"/>
    <row r="507" hidden="1" x14ac:dyDescent="0.15"/>
    <row r="508" hidden="1" x14ac:dyDescent="0.15"/>
    <row r="509" hidden="1" x14ac:dyDescent="0.15"/>
    <row r="510" hidden="1" x14ac:dyDescent="0.15"/>
    <row r="511" hidden="1" x14ac:dyDescent="0.15"/>
    <row r="512" hidden="1" x14ac:dyDescent="0.15"/>
    <row r="513" hidden="1" x14ac:dyDescent="0.15"/>
    <row r="514" hidden="1" x14ac:dyDescent="0.15"/>
    <row r="515" hidden="1" x14ac:dyDescent="0.15"/>
    <row r="516" hidden="1" x14ac:dyDescent="0.15"/>
    <row r="517" hidden="1" x14ac:dyDescent="0.15"/>
    <row r="518" hidden="1" x14ac:dyDescent="0.15"/>
    <row r="519" hidden="1" x14ac:dyDescent="0.15"/>
    <row r="520" hidden="1" x14ac:dyDescent="0.15"/>
    <row r="521" hidden="1" x14ac:dyDescent="0.15"/>
    <row r="522" hidden="1" x14ac:dyDescent="0.15"/>
    <row r="523" hidden="1" x14ac:dyDescent="0.15"/>
    <row r="524" hidden="1" x14ac:dyDescent="0.15"/>
    <row r="525" hidden="1" x14ac:dyDescent="0.15"/>
    <row r="526" hidden="1" x14ac:dyDescent="0.15"/>
    <row r="527" hidden="1" x14ac:dyDescent="0.15"/>
    <row r="528" hidden="1" x14ac:dyDescent="0.15"/>
    <row r="529" hidden="1" x14ac:dyDescent="0.15"/>
    <row r="530" hidden="1" x14ac:dyDescent="0.15"/>
    <row r="531" hidden="1" x14ac:dyDescent="0.15"/>
    <row r="532" hidden="1" x14ac:dyDescent="0.15"/>
    <row r="533" hidden="1" x14ac:dyDescent="0.15"/>
    <row r="534" hidden="1" x14ac:dyDescent="0.15"/>
    <row r="535" hidden="1" x14ac:dyDescent="0.15"/>
    <row r="536" hidden="1" x14ac:dyDescent="0.15"/>
    <row r="537" hidden="1" x14ac:dyDescent="0.15"/>
    <row r="538" hidden="1" x14ac:dyDescent="0.15"/>
    <row r="539" hidden="1" x14ac:dyDescent="0.15"/>
    <row r="540" hidden="1" x14ac:dyDescent="0.15"/>
    <row r="541" hidden="1" x14ac:dyDescent="0.15"/>
    <row r="542" hidden="1" x14ac:dyDescent="0.15"/>
    <row r="543" hidden="1" x14ac:dyDescent="0.15"/>
    <row r="544" hidden="1" x14ac:dyDescent="0.15"/>
    <row r="545" hidden="1" x14ac:dyDescent="0.15"/>
    <row r="546" hidden="1" x14ac:dyDescent="0.15"/>
    <row r="547" hidden="1" x14ac:dyDescent="0.15"/>
    <row r="548" hidden="1" x14ac:dyDescent="0.15"/>
    <row r="549" hidden="1" x14ac:dyDescent="0.15"/>
    <row r="550" hidden="1" x14ac:dyDescent="0.15"/>
    <row r="551" hidden="1" x14ac:dyDescent="0.15"/>
    <row r="552" hidden="1" x14ac:dyDescent="0.15"/>
    <row r="553" hidden="1" x14ac:dyDescent="0.15"/>
    <row r="554" hidden="1" x14ac:dyDescent="0.15"/>
    <row r="555" hidden="1" x14ac:dyDescent="0.15"/>
    <row r="556" hidden="1" x14ac:dyDescent="0.15"/>
    <row r="557" hidden="1" x14ac:dyDescent="0.15"/>
    <row r="558" hidden="1" x14ac:dyDescent="0.15"/>
    <row r="559" hidden="1" x14ac:dyDescent="0.15"/>
    <row r="560" hidden="1" x14ac:dyDescent="0.15"/>
    <row r="561" hidden="1" x14ac:dyDescent="0.15"/>
    <row r="562" hidden="1" x14ac:dyDescent="0.15"/>
    <row r="563" hidden="1" x14ac:dyDescent="0.15"/>
    <row r="564" hidden="1" x14ac:dyDescent="0.15"/>
    <row r="565" hidden="1" x14ac:dyDescent="0.15"/>
    <row r="566" hidden="1" x14ac:dyDescent="0.15"/>
    <row r="567" hidden="1" x14ac:dyDescent="0.15"/>
    <row r="568" hidden="1" x14ac:dyDescent="0.15"/>
    <row r="569" hidden="1" x14ac:dyDescent="0.15"/>
    <row r="570" hidden="1" x14ac:dyDescent="0.15"/>
    <row r="571" hidden="1" x14ac:dyDescent="0.15"/>
    <row r="572" hidden="1" x14ac:dyDescent="0.15"/>
    <row r="573" hidden="1" x14ac:dyDescent="0.15"/>
    <row r="574" hidden="1" x14ac:dyDescent="0.15"/>
    <row r="575" hidden="1" x14ac:dyDescent="0.15"/>
    <row r="576" hidden="1" x14ac:dyDescent="0.15"/>
    <row r="577" hidden="1" x14ac:dyDescent="0.15"/>
    <row r="578" hidden="1" x14ac:dyDescent="0.15"/>
    <row r="579" hidden="1" x14ac:dyDescent="0.15"/>
    <row r="580" hidden="1" x14ac:dyDescent="0.15"/>
    <row r="581" hidden="1" x14ac:dyDescent="0.15"/>
    <row r="582" hidden="1" x14ac:dyDescent="0.15"/>
    <row r="583" hidden="1" x14ac:dyDescent="0.15"/>
    <row r="584" hidden="1" x14ac:dyDescent="0.15"/>
    <row r="585" hidden="1" x14ac:dyDescent="0.15"/>
    <row r="586" hidden="1" x14ac:dyDescent="0.15"/>
    <row r="587" hidden="1" x14ac:dyDescent="0.15"/>
    <row r="588" hidden="1" x14ac:dyDescent="0.15"/>
    <row r="589" hidden="1" x14ac:dyDescent="0.15"/>
    <row r="590" hidden="1" x14ac:dyDescent="0.15"/>
    <row r="591" hidden="1" x14ac:dyDescent="0.15"/>
    <row r="592" hidden="1" x14ac:dyDescent="0.15"/>
    <row r="593" hidden="1" x14ac:dyDescent="0.15"/>
    <row r="594" hidden="1" x14ac:dyDescent="0.15"/>
    <row r="595" hidden="1" x14ac:dyDescent="0.15"/>
    <row r="596" hidden="1" x14ac:dyDescent="0.15"/>
    <row r="597" hidden="1" x14ac:dyDescent="0.15"/>
    <row r="598" hidden="1" x14ac:dyDescent="0.15"/>
    <row r="599" hidden="1" x14ac:dyDescent="0.15"/>
    <row r="600" hidden="1" x14ac:dyDescent="0.15"/>
    <row r="601" hidden="1" x14ac:dyDescent="0.15"/>
    <row r="602" hidden="1" x14ac:dyDescent="0.15"/>
    <row r="603" hidden="1" x14ac:dyDescent="0.15"/>
    <row r="604" hidden="1" x14ac:dyDescent="0.15"/>
    <row r="605" hidden="1" x14ac:dyDescent="0.15"/>
    <row r="606" hidden="1" x14ac:dyDescent="0.15"/>
    <row r="607" hidden="1" x14ac:dyDescent="0.15"/>
    <row r="608" hidden="1" x14ac:dyDescent="0.15"/>
    <row r="609" hidden="1" x14ac:dyDescent="0.15"/>
    <row r="610" hidden="1" x14ac:dyDescent="0.15"/>
    <row r="611" hidden="1" x14ac:dyDescent="0.15"/>
    <row r="612" hidden="1" x14ac:dyDescent="0.15"/>
    <row r="613" hidden="1" x14ac:dyDescent="0.15"/>
    <row r="614" hidden="1" x14ac:dyDescent="0.15"/>
    <row r="615" hidden="1" x14ac:dyDescent="0.15"/>
    <row r="616" hidden="1" x14ac:dyDescent="0.15"/>
    <row r="617" hidden="1" x14ac:dyDescent="0.15"/>
    <row r="618" hidden="1" x14ac:dyDescent="0.15"/>
    <row r="619" hidden="1" x14ac:dyDescent="0.15"/>
    <row r="620" hidden="1" x14ac:dyDescent="0.15"/>
    <row r="621" hidden="1" x14ac:dyDescent="0.15"/>
    <row r="622" hidden="1" x14ac:dyDescent="0.15"/>
    <row r="623" hidden="1" x14ac:dyDescent="0.15"/>
    <row r="624" hidden="1" x14ac:dyDescent="0.15"/>
    <row r="625" hidden="1" x14ac:dyDescent="0.15"/>
    <row r="626" hidden="1" x14ac:dyDescent="0.15"/>
    <row r="627" hidden="1" x14ac:dyDescent="0.15"/>
    <row r="628" hidden="1" x14ac:dyDescent="0.15"/>
    <row r="629" hidden="1" x14ac:dyDescent="0.15"/>
    <row r="630" hidden="1" x14ac:dyDescent="0.15"/>
    <row r="631" hidden="1" x14ac:dyDescent="0.15"/>
    <row r="632" hidden="1" x14ac:dyDescent="0.15"/>
    <row r="633" hidden="1" x14ac:dyDescent="0.15"/>
    <row r="634" hidden="1" x14ac:dyDescent="0.15"/>
    <row r="635" hidden="1" x14ac:dyDescent="0.15"/>
    <row r="636" hidden="1" x14ac:dyDescent="0.15"/>
    <row r="637" hidden="1" x14ac:dyDescent="0.15"/>
    <row r="638" hidden="1" x14ac:dyDescent="0.15"/>
    <row r="639" hidden="1" x14ac:dyDescent="0.15"/>
    <row r="640" hidden="1" x14ac:dyDescent="0.15"/>
    <row r="641" hidden="1" x14ac:dyDescent="0.15"/>
    <row r="642" hidden="1" x14ac:dyDescent="0.15"/>
    <row r="643" hidden="1" x14ac:dyDescent="0.15"/>
    <row r="644" hidden="1" x14ac:dyDescent="0.15"/>
    <row r="645" hidden="1" x14ac:dyDescent="0.15"/>
    <row r="646" hidden="1" x14ac:dyDescent="0.15"/>
    <row r="647" hidden="1" x14ac:dyDescent="0.15"/>
    <row r="648" hidden="1" x14ac:dyDescent="0.15"/>
    <row r="649" hidden="1" x14ac:dyDescent="0.15"/>
    <row r="650" hidden="1" x14ac:dyDescent="0.15"/>
    <row r="651" hidden="1" x14ac:dyDescent="0.15"/>
    <row r="652" hidden="1" x14ac:dyDescent="0.15"/>
    <row r="653" hidden="1" x14ac:dyDescent="0.15"/>
    <row r="654" hidden="1" x14ac:dyDescent="0.15"/>
    <row r="655" hidden="1" x14ac:dyDescent="0.15"/>
    <row r="656" hidden="1" x14ac:dyDescent="0.15"/>
    <row r="657" hidden="1" x14ac:dyDescent="0.15"/>
    <row r="658" hidden="1" x14ac:dyDescent="0.15"/>
    <row r="659" hidden="1" x14ac:dyDescent="0.15"/>
    <row r="660" hidden="1" x14ac:dyDescent="0.15"/>
    <row r="661" hidden="1" x14ac:dyDescent="0.15"/>
    <row r="662" hidden="1" x14ac:dyDescent="0.15"/>
    <row r="663" hidden="1" x14ac:dyDescent="0.15"/>
    <row r="664" hidden="1" x14ac:dyDescent="0.15"/>
    <row r="665" hidden="1" x14ac:dyDescent="0.15"/>
    <row r="666" hidden="1" x14ac:dyDescent="0.15"/>
    <row r="667" hidden="1" x14ac:dyDescent="0.15"/>
    <row r="668" hidden="1" x14ac:dyDescent="0.15"/>
    <row r="669" hidden="1" x14ac:dyDescent="0.15"/>
    <row r="670" hidden="1" x14ac:dyDescent="0.15"/>
    <row r="671" hidden="1" x14ac:dyDescent="0.15"/>
    <row r="672" hidden="1" x14ac:dyDescent="0.15"/>
    <row r="673" hidden="1" x14ac:dyDescent="0.15"/>
    <row r="674" hidden="1" x14ac:dyDescent="0.15"/>
    <row r="675" hidden="1" x14ac:dyDescent="0.15"/>
    <row r="676" hidden="1" x14ac:dyDescent="0.15"/>
    <row r="677" hidden="1" x14ac:dyDescent="0.15"/>
    <row r="678" hidden="1" x14ac:dyDescent="0.15"/>
    <row r="679" hidden="1" x14ac:dyDescent="0.15"/>
    <row r="680" hidden="1" x14ac:dyDescent="0.15"/>
    <row r="681" hidden="1" x14ac:dyDescent="0.15"/>
    <row r="682" hidden="1" x14ac:dyDescent="0.15"/>
    <row r="683" hidden="1" x14ac:dyDescent="0.15"/>
    <row r="684" hidden="1" x14ac:dyDescent="0.15"/>
    <row r="685" hidden="1" x14ac:dyDescent="0.15"/>
    <row r="686" hidden="1" x14ac:dyDescent="0.15"/>
    <row r="687" hidden="1" x14ac:dyDescent="0.15"/>
    <row r="688" hidden="1" x14ac:dyDescent="0.15"/>
    <row r="689" hidden="1" x14ac:dyDescent="0.15"/>
    <row r="690" hidden="1" x14ac:dyDescent="0.15"/>
    <row r="691" hidden="1" x14ac:dyDescent="0.15"/>
    <row r="692" hidden="1" x14ac:dyDescent="0.15"/>
    <row r="693" hidden="1" x14ac:dyDescent="0.15"/>
    <row r="694" hidden="1" x14ac:dyDescent="0.15"/>
    <row r="695" hidden="1" x14ac:dyDescent="0.15"/>
    <row r="696" hidden="1" x14ac:dyDescent="0.15"/>
    <row r="697" hidden="1" x14ac:dyDescent="0.15"/>
    <row r="698" hidden="1" x14ac:dyDescent="0.15"/>
    <row r="699" hidden="1" x14ac:dyDescent="0.15"/>
    <row r="700" hidden="1" x14ac:dyDescent="0.15"/>
    <row r="701" hidden="1" x14ac:dyDescent="0.15"/>
    <row r="702" hidden="1" x14ac:dyDescent="0.15"/>
    <row r="703" hidden="1" x14ac:dyDescent="0.15"/>
    <row r="704" hidden="1" x14ac:dyDescent="0.15"/>
    <row r="705" hidden="1" x14ac:dyDescent="0.15"/>
    <row r="706" hidden="1" x14ac:dyDescent="0.15"/>
    <row r="707" hidden="1" x14ac:dyDescent="0.15"/>
    <row r="708" hidden="1" x14ac:dyDescent="0.15"/>
    <row r="709" hidden="1" x14ac:dyDescent="0.15"/>
    <row r="710" hidden="1" x14ac:dyDescent="0.15"/>
    <row r="711" hidden="1" x14ac:dyDescent="0.15"/>
    <row r="712" hidden="1" x14ac:dyDescent="0.15"/>
    <row r="713" hidden="1" x14ac:dyDescent="0.15"/>
    <row r="714" hidden="1" x14ac:dyDescent="0.15"/>
    <row r="715" hidden="1" x14ac:dyDescent="0.15"/>
    <row r="716" hidden="1" x14ac:dyDescent="0.15"/>
    <row r="717" hidden="1" x14ac:dyDescent="0.15"/>
    <row r="718" hidden="1" x14ac:dyDescent="0.15"/>
    <row r="719" hidden="1" x14ac:dyDescent="0.15"/>
    <row r="720" hidden="1" x14ac:dyDescent="0.15"/>
    <row r="721" hidden="1" x14ac:dyDescent="0.15"/>
    <row r="722" hidden="1" x14ac:dyDescent="0.15"/>
    <row r="723" hidden="1" x14ac:dyDescent="0.15"/>
    <row r="724" hidden="1" x14ac:dyDescent="0.15"/>
    <row r="725" hidden="1" x14ac:dyDescent="0.15"/>
    <row r="726" hidden="1" x14ac:dyDescent="0.15"/>
    <row r="727" hidden="1" x14ac:dyDescent="0.15"/>
    <row r="728" hidden="1" x14ac:dyDescent="0.15"/>
    <row r="729" hidden="1" x14ac:dyDescent="0.15"/>
    <row r="730" hidden="1" x14ac:dyDescent="0.15"/>
    <row r="731" hidden="1" x14ac:dyDescent="0.15"/>
    <row r="732" hidden="1" x14ac:dyDescent="0.15"/>
    <row r="733" hidden="1" x14ac:dyDescent="0.15"/>
    <row r="734" hidden="1" x14ac:dyDescent="0.15"/>
    <row r="735" hidden="1" x14ac:dyDescent="0.15"/>
    <row r="736" hidden="1" x14ac:dyDescent="0.15"/>
    <row r="737" hidden="1" x14ac:dyDescent="0.15"/>
    <row r="738" hidden="1" x14ac:dyDescent="0.15"/>
    <row r="739" hidden="1" x14ac:dyDescent="0.15"/>
    <row r="740" hidden="1" x14ac:dyDescent="0.15"/>
    <row r="741" hidden="1" x14ac:dyDescent="0.15"/>
    <row r="742" hidden="1" x14ac:dyDescent="0.15"/>
    <row r="743" hidden="1" x14ac:dyDescent="0.15"/>
    <row r="744" hidden="1" x14ac:dyDescent="0.15"/>
    <row r="745" hidden="1" x14ac:dyDescent="0.15"/>
    <row r="746" hidden="1" x14ac:dyDescent="0.15"/>
    <row r="747" hidden="1" x14ac:dyDescent="0.15"/>
    <row r="748" hidden="1" x14ac:dyDescent="0.15"/>
    <row r="749" hidden="1" x14ac:dyDescent="0.15"/>
    <row r="750" hidden="1" x14ac:dyDescent="0.15"/>
    <row r="751" hidden="1" x14ac:dyDescent="0.15"/>
    <row r="752" hidden="1" x14ac:dyDescent="0.15"/>
    <row r="753" hidden="1" x14ac:dyDescent="0.15"/>
    <row r="754" hidden="1" x14ac:dyDescent="0.15"/>
    <row r="755" hidden="1" x14ac:dyDescent="0.15"/>
    <row r="756" hidden="1" x14ac:dyDescent="0.15"/>
    <row r="757" hidden="1" x14ac:dyDescent="0.15"/>
    <row r="758" hidden="1" x14ac:dyDescent="0.15"/>
    <row r="759" hidden="1" x14ac:dyDescent="0.15"/>
    <row r="760" hidden="1" x14ac:dyDescent="0.15"/>
    <row r="761" hidden="1" x14ac:dyDescent="0.15"/>
    <row r="762" hidden="1" x14ac:dyDescent="0.15"/>
    <row r="763" hidden="1" x14ac:dyDescent="0.15"/>
    <row r="764" hidden="1" x14ac:dyDescent="0.15"/>
    <row r="765" hidden="1" x14ac:dyDescent="0.15"/>
    <row r="766" hidden="1" x14ac:dyDescent="0.15"/>
    <row r="767" hidden="1" x14ac:dyDescent="0.15"/>
    <row r="768" hidden="1" x14ac:dyDescent="0.15"/>
    <row r="769" hidden="1" x14ac:dyDescent="0.15"/>
    <row r="770" hidden="1" x14ac:dyDescent="0.15"/>
    <row r="771" hidden="1" x14ac:dyDescent="0.15"/>
    <row r="772" hidden="1" x14ac:dyDescent="0.15"/>
    <row r="773" hidden="1" x14ac:dyDescent="0.15"/>
    <row r="774" hidden="1" x14ac:dyDescent="0.15"/>
    <row r="775" hidden="1" x14ac:dyDescent="0.15"/>
    <row r="776" hidden="1" x14ac:dyDescent="0.15"/>
    <row r="777" hidden="1" x14ac:dyDescent="0.15"/>
    <row r="778" hidden="1" x14ac:dyDescent="0.15"/>
    <row r="779" hidden="1" x14ac:dyDescent="0.15"/>
    <row r="780" hidden="1" x14ac:dyDescent="0.15"/>
    <row r="781" hidden="1" x14ac:dyDescent="0.15"/>
    <row r="782" hidden="1" x14ac:dyDescent="0.15"/>
    <row r="783" hidden="1" x14ac:dyDescent="0.15"/>
    <row r="784" hidden="1" x14ac:dyDescent="0.15"/>
    <row r="785" hidden="1" x14ac:dyDescent="0.15"/>
    <row r="786" hidden="1" x14ac:dyDescent="0.15"/>
    <row r="787" hidden="1" x14ac:dyDescent="0.15"/>
    <row r="788" hidden="1" x14ac:dyDescent="0.15"/>
    <row r="789" hidden="1" x14ac:dyDescent="0.15"/>
    <row r="790" hidden="1" x14ac:dyDescent="0.15"/>
    <row r="791" hidden="1" x14ac:dyDescent="0.15"/>
    <row r="792" hidden="1" x14ac:dyDescent="0.15"/>
    <row r="793" hidden="1" x14ac:dyDescent="0.15"/>
    <row r="794" hidden="1" x14ac:dyDescent="0.15"/>
    <row r="795" hidden="1" x14ac:dyDescent="0.15"/>
    <row r="796" hidden="1" x14ac:dyDescent="0.15"/>
    <row r="797" hidden="1" x14ac:dyDescent="0.15"/>
    <row r="798" hidden="1" x14ac:dyDescent="0.15"/>
    <row r="799" hidden="1" x14ac:dyDescent="0.15"/>
    <row r="800" hidden="1" x14ac:dyDescent="0.15"/>
    <row r="801" hidden="1" x14ac:dyDescent="0.15"/>
    <row r="802" hidden="1" x14ac:dyDescent="0.15"/>
    <row r="803" hidden="1" x14ac:dyDescent="0.15"/>
    <row r="804" hidden="1" x14ac:dyDescent="0.15"/>
    <row r="805" hidden="1" x14ac:dyDescent="0.15"/>
    <row r="806" hidden="1" x14ac:dyDescent="0.15"/>
    <row r="807" hidden="1" x14ac:dyDescent="0.15"/>
    <row r="808" hidden="1" x14ac:dyDescent="0.15"/>
    <row r="809" hidden="1" x14ac:dyDescent="0.15"/>
    <row r="810" hidden="1" x14ac:dyDescent="0.15"/>
    <row r="811" hidden="1" x14ac:dyDescent="0.15"/>
    <row r="812" hidden="1" x14ac:dyDescent="0.15"/>
    <row r="813" hidden="1" x14ac:dyDescent="0.15"/>
    <row r="814" hidden="1" x14ac:dyDescent="0.15"/>
    <row r="815" hidden="1" x14ac:dyDescent="0.15"/>
    <row r="816" hidden="1" x14ac:dyDescent="0.15"/>
    <row r="817" hidden="1" x14ac:dyDescent="0.15"/>
    <row r="818" hidden="1" x14ac:dyDescent="0.15"/>
    <row r="819" hidden="1" x14ac:dyDescent="0.15"/>
    <row r="820" hidden="1" x14ac:dyDescent="0.15"/>
    <row r="821" hidden="1" x14ac:dyDescent="0.15"/>
    <row r="822" hidden="1" x14ac:dyDescent="0.15"/>
    <row r="823" hidden="1" x14ac:dyDescent="0.15"/>
    <row r="824" hidden="1" x14ac:dyDescent="0.15"/>
    <row r="825" hidden="1" x14ac:dyDescent="0.15"/>
    <row r="826" hidden="1" x14ac:dyDescent="0.15"/>
    <row r="827" hidden="1" x14ac:dyDescent="0.15"/>
    <row r="828" hidden="1" x14ac:dyDescent="0.15"/>
    <row r="829" hidden="1" x14ac:dyDescent="0.15"/>
    <row r="830" hidden="1" x14ac:dyDescent="0.15"/>
    <row r="831" hidden="1" x14ac:dyDescent="0.15"/>
    <row r="832" hidden="1" x14ac:dyDescent="0.15"/>
    <row r="833" hidden="1" x14ac:dyDescent="0.15"/>
    <row r="834" hidden="1" x14ac:dyDescent="0.15"/>
    <row r="835" hidden="1" x14ac:dyDescent="0.15"/>
    <row r="836" hidden="1" x14ac:dyDescent="0.15"/>
    <row r="837" hidden="1" x14ac:dyDescent="0.15"/>
    <row r="838" hidden="1" x14ac:dyDescent="0.15"/>
    <row r="839" hidden="1" x14ac:dyDescent="0.15"/>
    <row r="840" hidden="1" x14ac:dyDescent="0.15"/>
    <row r="841" hidden="1" x14ac:dyDescent="0.15"/>
    <row r="842" hidden="1" x14ac:dyDescent="0.15"/>
    <row r="843" hidden="1" x14ac:dyDescent="0.15"/>
    <row r="844" hidden="1" x14ac:dyDescent="0.15"/>
    <row r="845" hidden="1" x14ac:dyDescent="0.15"/>
    <row r="846" hidden="1" x14ac:dyDescent="0.15"/>
    <row r="847" hidden="1" x14ac:dyDescent="0.15"/>
    <row r="848" hidden="1" x14ac:dyDescent="0.15"/>
    <row r="849" hidden="1" x14ac:dyDescent="0.15"/>
    <row r="850" hidden="1" x14ac:dyDescent="0.15"/>
    <row r="851" hidden="1" x14ac:dyDescent="0.15"/>
    <row r="852" hidden="1" x14ac:dyDescent="0.15"/>
    <row r="853" hidden="1" x14ac:dyDescent="0.15"/>
    <row r="854" hidden="1" x14ac:dyDescent="0.15"/>
    <row r="855" hidden="1" x14ac:dyDescent="0.15"/>
    <row r="856" hidden="1" x14ac:dyDescent="0.15"/>
    <row r="857" hidden="1" x14ac:dyDescent="0.15"/>
    <row r="858" hidden="1" x14ac:dyDescent="0.15"/>
    <row r="859" hidden="1" x14ac:dyDescent="0.15"/>
    <row r="860" hidden="1" x14ac:dyDescent="0.15"/>
    <row r="861" hidden="1" x14ac:dyDescent="0.15"/>
    <row r="862" hidden="1" x14ac:dyDescent="0.15"/>
    <row r="863" hidden="1" x14ac:dyDescent="0.15"/>
    <row r="864" hidden="1" x14ac:dyDescent="0.15"/>
    <row r="865" hidden="1" x14ac:dyDescent="0.15"/>
    <row r="866" hidden="1" x14ac:dyDescent="0.15"/>
    <row r="867" hidden="1" x14ac:dyDescent="0.15"/>
    <row r="868" hidden="1" x14ac:dyDescent="0.15"/>
    <row r="869" hidden="1" x14ac:dyDescent="0.15"/>
    <row r="870" hidden="1" x14ac:dyDescent="0.15"/>
    <row r="871" hidden="1" x14ac:dyDescent="0.15"/>
    <row r="872" hidden="1" x14ac:dyDescent="0.15"/>
    <row r="873" hidden="1" x14ac:dyDescent="0.15"/>
    <row r="874" hidden="1" x14ac:dyDescent="0.15"/>
    <row r="875" hidden="1" x14ac:dyDescent="0.15"/>
    <row r="876" hidden="1" x14ac:dyDescent="0.15"/>
    <row r="877" hidden="1" x14ac:dyDescent="0.15"/>
    <row r="878" hidden="1" x14ac:dyDescent="0.15"/>
    <row r="879" hidden="1" x14ac:dyDescent="0.15"/>
    <row r="880" hidden="1" x14ac:dyDescent="0.15"/>
    <row r="881" hidden="1" x14ac:dyDescent="0.15"/>
    <row r="882" hidden="1" x14ac:dyDescent="0.15"/>
    <row r="883" hidden="1" x14ac:dyDescent="0.15"/>
    <row r="884" hidden="1" x14ac:dyDescent="0.15"/>
    <row r="885" hidden="1" x14ac:dyDescent="0.15"/>
    <row r="886" hidden="1" x14ac:dyDescent="0.15"/>
    <row r="887" hidden="1" x14ac:dyDescent="0.15"/>
    <row r="888" hidden="1" x14ac:dyDescent="0.15"/>
    <row r="889" hidden="1" x14ac:dyDescent="0.15"/>
    <row r="890" hidden="1" x14ac:dyDescent="0.15"/>
    <row r="891" hidden="1" x14ac:dyDescent="0.15"/>
    <row r="892" hidden="1" x14ac:dyDescent="0.15"/>
    <row r="893" hidden="1" x14ac:dyDescent="0.15"/>
    <row r="894" hidden="1" x14ac:dyDescent="0.15"/>
    <row r="895" hidden="1" x14ac:dyDescent="0.15"/>
    <row r="896" hidden="1" x14ac:dyDescent="0.15"/>
    <row r="897" hidden="1" x14ac:dyDescent="0.15"/>
    <row r="898" hidden="1" x14ac:dyDescent="0.15"/>
    <row r="899" hidden="1" x14ac:dyDescent="0.15"/>
    <row r="900" hidden="1" x14ac:dyDescent="0.15"/>
    <row r="901" hidden="1" x14ac:dyDescent="0.15"/>
    <row r="902" hidden="1" x14ac:dyDescent="0.15"/>
    <row r="903" hidden="1" x14ac:dyDescent="0.15"/>
    <row r="904" hidden="1" x14ac:dyDescent="0.15"/>
    <row r="905" hidden="1" x14ac:dyDescent="0.15"/>
    <row r="906" hidden="1" x14ac:dyDescent="0.15"/>
    <row r="907" hidden="1" x14ac:dyDescent="0.15"/>
    <row r="908" hidden="1" x14ac:dyDescent="0.15"/>
    <row r="909" hidden="1" x14ac:dyDescent="0.15"/>
    <row r="910" hidden="1" x14ac:dyDescent="0.15"/>
    <row r="911" hidden="1" x14ac:dyDescent="0.15"/>
    <row r="912" hidden="1" x14ac:dyDescent="0.15"/>
    <row r="913" hidden="1" x14ac:dyDescent="0.15"/>
    <row r="914" hidden="1" x14ac:dyDescent="0.15"/>
    <row r="915" hidden="1" x14ac:dyDescent="0.15"/>
    <row r="916" hidden="1" x14ac:dyDescent="0.15"/>
    <row r="917" hidden="1" x14ac:dyDescent="0.15"/>
    <row r="918" hidden="1" x14ac:dyDescent="0.15"/>
    <row r="919" hidden="1" x14ac:dyDescent="0.15"/>
    <row r="920" hidden="1" x14ac:dyDescent="0.15"/>
    <row r="921" hidden="1" x14ac:dyDescent="0.15"/>
    <row r="922" hidden="1" x14ac:dyDescent="0.15"/>
    <row r="923" hidden="1" x14ac:dyDescent="0.15"/>
    <row r="924" hidden="1" x14ac:dyDescent="0.15"/>
    <row r="925" hidden="1" x14ac:dyDescent="0.15"/>
    <row r="926" hidden="1" x14ac:dyDescent="0.15"/>
    <row r="927" hidden="1" x14ac:dyDescent="0.15"/>
    <row r="928" hidden="1" x14ac:dyDescent="0.15"/>
    <row r="929" hidden="1" x14ac:dyDescent="0.15"/>
    <row r="930" hidden="1" x14ac:dyDescent="0.15"/>
    <row r="931" hidden="1" x14ac:dyDescent="0.15"/>
    <row r="932" hidden="1" x14ac:dyDescent="0.15"/>
    <row r="933" hidden="1" x14ac:dyDescent="0.15"/>
    <row r="934" hidden="1" x14ac:dyDescent="0.15"/>
    <row r="935" hidden="1" x14ac:dyDescent="0.15"/>
    <row r="936" hidden="1" x14ac:dyDescent="0.15"/>
    <row r="937" hidden="1" x14ac:dyDescent="0.15"/>
    <row r="938" hidden="1" x14ac:dyDescent="0.15"/>
    <row r="939" hidden="1" x14ac:dyDescent="0.15"/>
    <row r="940" hidden="1" x14ac:dyDescent="0.15"/>
    <row r="941" hidden="1" x14ac:dyDescent="0.15"/>
    <row r="942" hidden="1" x14ac:dyDescent="0.15"/>
    <row r="943" hidden="1" x14ac:dyDescent="0.15"/>
    <row r="944" hidden="1" x14ac:dyDescent="0.15"/>
    <row r="945" hidden="1" x14ac:dyDescent="0.15"/>
    <row r="946" hidden="1" x14ac:dyDescent="0.15"/>
    <row r="947" hidden="1" x14ac:dyDescent="0.15"/>
    <row r="948" hidden="1" x14ac:dyDescent="0.15"/>
    <row r="949" hidden="1" x14ac:dyDescent="0.15"/>
    <row r="950" hidden="1" x14ac:dyDescent="0.15"/>
    <row r="951" hidden="1" x14ac:dyDescent="0.15"/>
    <row r="952" hidden="1" x14ac:dyDescent="0.15"/>
    <row r="953" hidden="1" x14ac:dyDescent="0.15"/>
    <row r="954" hidden="1" x14ac:dyDescent="0.15"/>
    <row r="955" hidden="1" x14ac:dyDescent="0.15"/>
    <row r="956" hidden="1" x14ac:dyDescent="0.15"/>
    <row r="957" hidden="1" x14ac:dyDescent="0.15"/>
    <row r="958" hidden="1" x14ac:dyDescent="0.15"/>
    <row r="959" hidden="1" x14ac:dyDescent="0.15"/>
    <row r="960" hidden="1" x14ac:dyDescent="0.15"/>
    <row r="961" hidden="1" x14ac:dyDescent="0.15"/>
    <row r="962" hidden="1" x14ac:dyDescent="0.15"/>
    <row r="963" hidden="1" x14ac:dyDescent="0.15"/>
    <row r="964" hidden="1" x14ac:dyDescent="0.15"/>
    <row r="965" hidden="1" x14ac:dyDescent="0.15"/>
    <row r="966" hidden="1" x14ac:dyDescent="0.15"/>
    <row r="967" hidden="1" x14ac:dyDescent="0.15"/>
    <row r="968" hidden="1" x14ac:dyDescent="0.15"/>
    <row r="969" hidden="1" x14ac:dyDescent="0.15"/>
    <row r="970" hidden="1" x14ac:dyDescent="0.15"/>
    <row r="971" hidden="1" x14ac:dyDescent="0.15"/>
    <row r="972" hidden="1" x14ac:dyDescent="0.15"/>
    <row r="973" hidden="1" x14ac:dyDescent="0.15"/>
    <row r="974" hidden="1" x14ac:dyDescent="0.15"/>
    <row r="975" hidden="1" x14ac:dyDescent="0.15"/>
    <row r="976" hidden="1" x14ac:dyDescent="0.15"/>
    <row r="977" hidden="1" x14ac:dyDescent="0.15"/>
    <row r="978" hidden="1" x14ac:dyDescent="0.15"/>
    <row r="979" hidden="1" x14ac:dyDescent="0.15"/>
    <row r="980" hidden="1" x14ac:dyDescent="0.15"/>
    <row r="981" hidden="1" x14ac:dyDescent="0.15"/>
    <row r="982" hidden="1" x14ac:dyDescent="0.15"/>
    <row r="983" hidden="1" x14ac:dyDescent="0.15"/>
    <row r="984" hidden="1" x14ac:dyDescent="0.15"/>
    <row r="985" hidden="1" x14ac:dyDescent="0.15"/>
    <row r="986" hidden="1" x14ac:dyDescent="0.15"/>
    <row r="987" hidden="1" x14ac:dyDescent="0.15"/>
    <row r="988" hidden="1" x14ac:dyDescent="0.15"/>
    <row r="989" hidden="1" x14ac:dyDescent="0.15"/>
    <row r="990" hidden="1" x14ac:dyDescent="0.15"/>
    <row r="991" hidden="1" x14ac:dyDescent="0.15"/>
    <row r="992" hidden="1" x14ac:dyDescent="0.15"/>
    <row r="993" hidden="1" x14ac:dyDescent="0.15"/>
    <row r="994" hidden="1" x14ac:dyDescent="0.15"/>
    <row r="995" hidden="1" x14ac:dyDescent="0.15"/>
    <row r="996" hidden="1" x14ac:dyDescent="0.15"/>
    <row r="997" hidden="1" x14ac:dyDescent="0.15"/>
    <row r="998" hidden="1" x14ac:dyDescent="0.15"/>
    <row r="999" hidden="1" x14ac:dyDescent="0.15"/>
    <row r="1000" hidden="1" x14ac:dyDescent="0.15"/>
    <row r="1001" hidden="1" x14ac:dyDescent="0.15"/>
    <row r="1002" hidden="1" x14ac:dyDescent="0.15"/>
    <row r="1003" hidden="1" x14ac:dyDescent="0.15"/>
    <row r="1004" hidden="1" x14ac:dyDescent="0.15"/>
    <row r="1005" hidden="1" x14ac:dyDescent="0.15"/>
    <row r="1006" hidden="1" x14ac:dyDescent="0.15"/>
    <row r="1007" hidden="1" x14ac:dyDescent="0.15"/>
    <row r="1008" hidden="1" x14ac:dyDescent="0.15"/>
    <row r="1009" hidden="1" x14ac:dyDescent="0.15"/>
    <row r="1010" hidden="1" x14ac:dyDescent="0.15"/>
    <row r="1011" hidden="1" x14ac:dyDescent="0.15"/>
    <row r="1012" hidden="1" x14ac:dyDescent="0.15"/>
    <row r="1013" hidden="1" x14ac:dyDescent="0.15"/>
    <row r="1014" hidden="1" x14ac:dyDescent="0.15"/>
    <row r="1015" hidden="1" x14ac:dyDescent="0.15"/>
    <row r="1016" hidden="1" x14ac:dyDescent="0.15"/>
    <row r="1017" hidden="1" x14ac:dyDescent="0.15"/>
    <row r="1018" hidden="1" x14ac:dyDescent="0.15"/>
    <row r="1019" hidden="1" x14ac:dyDescent="0.15"/>
    <row r="1020" hidden="1" x14ac:dyDescent="0.15"/>
    <row r="1021" hidden="1" x14ac:dyDescent="0.15"/>
    <row r="1022" hidden="1" x14ac:dyDescent="0.15"/>
    <row r="1023" hidden="1" x14ac:dyDescent="0.15"/>
    <row r="1024" hidden="1" x14ac:dyDescent="0.15"/>
    <row r="1025" hidden="1" x14ac:dyDescent="0.15"/>
    <row r="1026" hidden="1" x14ac:dyDescent="0.15"/>
    <row r="1027" hidden="1" x14ac:dyDescent="0.15"/>
    <row r="1028" hidden="1" x14ac:dyDescent="0.15"/>
    <row r="1029" hidden="1" x14ac:dyDescent="0.15"/>
    <row r="1030" hidden="1" x14ac:dyDescent="0.15"/>
    <row r="1031" hidden="1" x14ac:dyDescent="0.15"/>
    <row r="1032" hidden="1" x14ac:dyDescent="0.15"/>
    <row r="1033" hidden="1" x14ac:dyDescent="0.15"/>
    <row r="1034" hidden="1" x14ac:dyDescent="0.15"/>
    <row r="1035" hidden="1" x14ac:dyDescent="0.15"/>
    <row r="1036" hidden="1" x14ac:dyDescent="0.15"/>
    <row r="1037" hidden="1" x14ac:dyDescent="0.15"/>
    <row r="1038" hidden="1" x14ac:dyDescent="0.15"/>
    <row r="1039" hidden="1" x14ac:dyDescent="0.15"/>
    <row r="1040" hidden="1" x14ac:dyDescent="0.15"/>
    <row r="1041" hidden="1" x14ac:dyDescent="0.15"/>
    <row r="1042" hidden="1" x14ac:dyDescent="0.15"/>
    <row r="1043" hidden="1" x14ac:dyDescent="0.15"/>
    <row r="1044" hidden="1" x14ac:dyDescent="0.15"/>
    <row r="1045" hidden="1" x14ac:dyDescent="0.15"/>
    <row r="1046" hidden="1" x14ac:dyDescent="0.15"/>
    <row r="1047" hidden="1" x14ac:dyDescent="0.15"/>
    <row r="1048" hidden="1" x14ac:dyDescent="0.15"/>
    <row r="1049" hidden="1" x14ac:dyDescent="0.15"/>
    <row r="1050" hidden="1" x14ac:dyDescent="0.15"/>
    <row r="1051" hidden="1" x14ac:dyDescent="0.15"/>
    <row r="1052" hidden="1" x14ac:dyDescent="0.15"/>
    <row r="1053" hidden="1" x14ac:dyDescent="0.15"/>
    <row r="1054" hidden="1" x14ac:dyDescent="0.15"/>
    <row r="1055" hidden="1" x14ac:dyDescent="0.15"/>
    <row r="1056" hidden="1" x14ac:dyDescent="0.15"/>
    <row r="1057" hidden="1" x14ac:dyDescent="0.15"/>
    <row r="1058" hidden="1" x14ac:dyDescent="0.15"/>
    <row r="1059" hidden="1" x14ac:dyDescent="0.15"/>
    <row r="1060" hidden="1" x14ac:dyDescent="0.15"/>
    <row r="1061" hidden="1" x14ac:dyDescent="0.15"/>
    <row r="1062" hidden="1" x14ac:dyDescent="0.15"/>
    <row r="1063" hidden="1" x14ac:dyDescent="0.15"/>
    <row r="1064" hidden="1" x14ac:dyDescent="0.15"/>
    <row r="1065" hidden="1" x14ac:dyDescent="0.15"/>
    <row r="1066" hidden="1" x14ac:dyDescent="0.15"/>
    <row r="1067" hidden="1" x14ac:dyDescent="0.15"/>
    <row r="1068" hidden="1" x14ac:dyDescent="0.15"/>
    <row r="1069" hidden="1" x14ac:dyDescent="0.15"/>
    <row r="1070" hidden="1" x14ac:dyDescent="0.15"/>
    <row r="1071" hidden="1" x14ac:dyDescent="0.15"/>
    <row r="1072" hidden="1" x14ac:dyDescent="0.15"/>
    <row r="1073" hidden="1" x14ac:dyDescent="0.15"/>
    <row r="1074" hidden="1" x14ac:dyDescent="0.15"/>
    <row r="1075" hidden="1" x14ac:dyDescent="0.15"/>
    <row r="1076" hidden="1" x14ac:dyDescent="0.15"/>
    <row r="1077" hidden="1" x14ac:dyDescent="0.15"/>
    <row r="1078" hidden="1" x14ac:dyDescent="0.15"/>
    <row r="1079" hidden="1" x14ac:dyDescent="0.15"/>
    <row r="1080" hidden="1" x14ac:dyDescent="0.15"/>
    <row r="1081" hidden="1" x14ac:dyDescent="0.15"/>
    <row r="1082" hidden="1" x14ac:dyDescent="0.15"/>
    <row r="1083" hidden="1" x14ac:dyDescent="0.15"/>
    <row r="1084" hidden="1" x14ac:dyDescent="0.15"/>
    <row r="1085" hidden="1" x14ac:dyDescent="0.15"/>
    <row r="1086" hidden="1" x14ac:dyDescent="0.15"/>
    <row r="1087" hidden="1" x14ac:dyDescent="0.15"/>
    <row r="1088" hidden="1" x14ac:dyDescent="0.15"/>
    <row r="1089" hidden="1" x14ac:dyDescent="0.15"/>
    <row r="1090" hidden="1" x14ac:dyDescent="0.15"/>
    <row r="1091" hidden="1" x14ac:dyDescent="0.15"/>
    <row r="1092" hidden="1" x14ac:dyDescent="0.15"/>
    <row r="1093" hidden="1" x14ac:dyDescent="0.15"/>
    <row r="1094" hidden="1" x14ac:dyDescent="0.15"/>
    <row r="1095" hidden="1" x14ac:dyDescent="0.15"/>
    <row r="1096" hidden="1" x14ac:dyDescent="0.15"/>
    <row r="1097" hidden="1" x14ac:dyDescent="0.15"/>
    <row r="1098" hidden="1" x14ac:dyDescent="0.15"/>
    <row r="1099" hidden="1" x14ac:dyDescent="0.15"/>
    <row r="1100" hidden="1" x14ac:dyDescent="0.15"/>
    <row r="1101" hidden="1" x14ac:dyDescent="0.15"/>
    <row r="1102" hidden="1" x14ac:dyDescent="0.15"/>
    <row r="1103" hidden="1" x14ac:dyDescent="0.15"/>
    <row r="1104" hidden="1" x14ac:dyDescent="0.15"/>
    <row r="1105" hidden="1" x14ac:dyDescent="0.15"/>
    <row r="1106" hidden="1" x14ac:dyDescent="0.15"/>
    <row r="1107" hidden="1" x14ac:dyDescent="0.15"/>
    <row r="1108" hidden="1" x14ac:dyDescent="0.15"/>
    <row r="1109" hidden="1" x14ac:dyDescent="0.15"/>
    <row r="1110" hidden="1" x14ac:dyDescent="0.15"/>
    <row r="1111" hidden="1" x14ac:dyDescent="0.15"/>
    <row r="1112" hidden="1" x14ac:dyDescent="0.15"/>
    <row r="1113" hidden="1" x14ac:dyDescent="0.15"/>
    <row r="1114" hidden="1" x14ac:dyDescent="0.15"/>
    <row r="1115" hidden="1" x14ac:dyDescent="0.15"/>
    <row r="1116" hidden="1" x14ac:dyDescent="0.15"/>
    <row r="1117" hidden="1" x14ac:dyDescent="0.15"/>
    <row r="1118" hidden="1" x14ac:dyDescent="0.15"/>
    <row r="1119" hidden="1" x14ac:dyDescent="0.15"/>
    <row r="1120" hidden="1" x14ac:dyDescent="0.15"/>
    <row r="1121" hidden="1" x14ac:dyDescent="0.15"/>
    <row r="1122" hidden="1" x14ac:dyDescent="0.15"/>
    <row r="1123" hidden="1" x14ac:dyDescent="0.15"/>
    <row r="1124" hidden="1" x14ac:dyDescent="0.15"/>
    <row r="1125" hidden="1" x14ac:dyDescent="0.15"/>
    <row r="1126" hidden="1" x14ac:dyDescent="0.15"/>
    <row r="1127" hidden="1" x14ac:dyDescent="0.15"/>
    <row r="1128" hidden="1" x14ac:dyDescent="0.15"/>
    <row r="1129" hidden="1" x14ac:dyDescent="0.15"/>
    <row r="1130" hidden="1" x14ac:dyDescent="0.15"/>
    <row r="1131" hidden="1" x14ac:dyDescent="0.15"/>
    <row r="1132" hidden="1" x14ac:dyDescent="0.15"/>
    <row r="1133" hidden="1" x14ac:dyDescent="0.15"/>
    <row r="1134" hidden="1" x14ac:dyDescent="0.15"/>
    <row r="1135" hidden="1" x14ac:dyDescent="0.15"/>
    <row r="1136" hidden="1" x14ac:dyDescent="0.15"/>
    <row r="1137" hidden="1" x14ac:dyDescent="0.15"/>
    <row r="1138" hidden="1" x14ac:dyDescent="0.15"/>
    <row r="1139" hidden="1" x14ac:dyDescent="0.15"/>
    <row r="1140" hidden="1" x14ac:dyDescent="0.15"/>
    <row r="1141" hidden="1" x14ac:dyDescent="0.15"/>
    <row r="1142" hidden="1" x14ac:dyDescent="0.15"/>
    <row r="1143" hidden="1" x14ac:dyDescent="0.15"/>
    <row r="1144" hidden="1" x14ac:dyDescent="0.15"/>
    <row r="1145" hidden="1" x14ac:dyDescent="0.15"/>
    <row r="1146" hidden="1" x14ac:dyDescent="0.15"/>
    <row r="1147" hidden="1" x14ac:dyDescent="0.15"/>
    <row r="1148" hidden="1" x14ac:dyDescent="0.15"/>
    <row r="1149" hidden="1" x14ac:dyDescent="0.15"/>
    <row r="1150" hidden="1" x14ac:dyDescent="0.15"/>
    <row r="1151" hidden="1" x14ac:dyDescent="0.15"/>
    <row r="1152" hidden="1" x14ac:dyDescent="0.15"/>
    <row r="1153" hidden="1" x14ac:dyDescent="0.15"/>
    <row r="1154" hidden="1" x14ac:dyDescent="0.15"/>
    <row r="1155" hidden="1" x14ac:dyDescent="0.15"/>
    <row r="1156" hidden="1" x14ac:dyDescent="0.15"/>
    <row r="1157" hidden="1" x14ac:dyDescent="0.15"/>
    <row r="1158" hidden="1" x14ac:dyDescent="0.15"/>
    <row r="1159" hidden="1" x14ac:dyDescent="0.15"/>
    <row r="1160" hidden="1" x14ac:dyDescent="0.15"/>
    <row r="1161" hidden="1" x14ac:dyDescent="0.15"/>
    <row r="1162" hidden="1" x14ac:dyDescent="0.15"/>
    <row r="1163" hidden="1" x14ac:dyDescent="0.15"/>
    <row r="1164" hidden="1" x14ac:dyDescent="0.15"/>
    <row r="1165" hidden="1" x14ac:dyDescent="0.15"/>
    <row r="1166" hidden="1" x14ac:dyDescent="0.15"/>
    <row r="1167" hidden="1" x14ac:dyDescent="0.15"/>
    <row r="1168" hidden="1" x14ac:dyDescent="0.15"/>
    <row r="1169" hidden="1" x14ac:dyDescent="0.15"/>
    <row r="1170" hidden="1" x14ac:dyDescent="0.15"/>
    <row r="1171" hidden="1" x14ac:dyDescent="0.15"/>
    <row r="1172" hidden="1" x14ac:dyDescent="0.15"/>
    <row r="1173" hidden="1" x14ac:dyDescent="0.15"/>
    <row r="1174" hidden="1" x14ac:dyDescent="0.15"/>
    <row r="1175" hidden="1" x14ac:dyDescent="0.15"/>
    <row r="1176" hidden="1" x14ac:dyDescent="0.15"/>
    <row r="1177" hidden="1" x14ac:dyDescent="0.15"/>
    <row r="1178" hidden="1" x14ac:dyDescent="0.15"/>
    <row r="1179" hidden="1" x14ac:dyDescent="0.15"/>
    <row r="1180" hidden="1" x14ac:dyDescent="0.15"/>
    <row r="1181" hidden="1" x14ac:dyDescent="0.15"/>
    <row r="1182" hidden="1" x14ac:dyDescent="0.15"/>
    <row r="1183" hidden="1" x14ac:dyDescent="0.15"/>
    <row r="1184" hidden="1" x14ac:dyDescent="0.15"/>
    <row r="1185" hidden="1" x14ac:dyDescent="0.15"/>
    <row r="1186" hidden="1" x14ac:dyDescent="0.15"/>
    <row r="1187" hidden="1" x14ac:dyDescent="0.15"/>
    <row r="1188" hidden="1" x14ac:dyDescent="0.15"/>
    <row r="1189" hidden="1" x14ac:dyDescent="0.15"/>
    <row r="1190" hidden="1" x14ac:dyDescent="0.15"/>
    <row r="1191" hidden="1" x14ac:dyDescent="0.15"/>
    <row r="1192" hidden="1" x14ac:dyDescent="0.15"/>
    <row r="1193" hidden="1" x14ac:dyDescent="0.15"/>
    <row r="1194" hidden="1" x14ac:dyDescent="0.15"/>
    <row r="1195" hidden="1" x14ac:dyDescent="0.15"/>
    <row r="1196" hidden="1" x14ac:dyDescent="0.15"/>
    <row r="1197" hidden="1" x14ac:dyDescent="0.15"/>
    <row r="1198" hidden="1" x14ac:dyDescent="0.15"/>
    <row r="1199" hidden="1" x14ac:dyDescent="0.15"/>
    <row r="1200" hidden="1" x14ac:dyDescent="0.15"/>
    <row r="1201" hidden="1" x14ac:dyDescent="0.15"/>
    <row r="1202" hidden="1" x14ac:dyDescent="0.15"/>
    <row r="1203" hidden="1" x14ac:dyDescent="0.15"/>
    <row r="1204" hidden="1" x14ac:dyDescent="0.15"/>
    <row r="1205" hidden="1" x14ac:dyDescent="0.15"/>
    <row r="1206" hidden="1" x14ac:dyDescent="0.15"/>
    <row r="1207" hidden="1" x14ac:dyDescent="0.15"/>
    <row r="1208" hidden="1" x14ac:dyDescent="0.15"/>
    <row r="1209" hidden="1" x14ac:dyDescent="0.15"/>
    <row r="1210" hidden="1" x14ac:dyDescent="0.15"/>
    <row r="1211" hidden="1" x14ac:dyDescent="0.15"/>
    <row r="1212" hidden="1" x14ac:dyDescent="0.15"/>
    <row r="1213" hidden="1" x14ac:dyDescent="0.15"/>
    <row r="1214" hidden="1" x14ac:dyDescent="0.15"/>
    <row r="1215" hidden="1" x14ac:dyDescent="0.15"/>
    <row r="1216" hidden="1" x14ac:dyDescent="0.15"/>
    <row r="1217" hidden="1" x14ac:dyDescent="0.15"/>
    <row r="1218" hidden="1" x14ac:dyDescent="0.15"/>
    <row r="1219" hidden="1" x14ac:dyDescent="0.15"/>
    <row r="1220" hidden="1" x14ac:dyDescent="0.15"/>
    <row r="1221" hidden="1" x14ac:dyDescent="0.15"/>
    <row r="1222" hidden="1" x14ac:dyDescent="0.15"/>
    <row r="1223" hidden="1" x14ac:dyDescent="0.15"/>
    <row r="1224" hidden="1" x14ac:dyDescent="0.15"/>
    <row r="1225" hidden="1" x14ac:dyDescent="0.15"/>
    <row r="1226" hidden="1" x14ac:dyDescent="0.15"/>
    <row r="1227" hidden="1" x14ac:dyDescent="0.15"/>
    <row r="1228" hidden="1" x14ac:dyDescent="0.15"/>
    <row r="1229" hidden="1" x14ac:dyDescent="0.15"/>
    <row r="1230" hidden="1" x14ac:dyDescent="0.15"/>
    <row r="1231" hidden="1" x14ac:dyDescent="0.15"/>
    <row r="1232" hidden="1" x14ac:dyDescent="0.15"/>
    <row r="1233" hidden="1" x14ac:dyDescent="0.15"/>
    <row r="1234" hidden="1" x14ac:dyDescent="0.15"/>
    <row r="1235" hidden="1" x14ac:dyDescent="0.15"/>
    <row r="1236" hidden="1" x14ac:dyDescent="0.15"/>
    <row r="1237" hidden="1" x14ac:dyDescent="0.15"/>
    <row r="1238" hidden="1" x14ac:dyDescent="0.15"/>
    <row r="1239" hidden="1" x14ac:dyDescent="0.15"/>
    <row r="1240" hidden="1" x14ac:dyDescent="0.15"/>
    <row r="1241" hidden="1" x14ac:dyDescent="0.15"/>
    <row r="1242" hidden="1" x14ac:dyDescent="0.15"/>
    <row r="1243" hidden="1" x14ac:dyDescent="0.15"/>
    <row r="1244" hidden="1" x14ac:dyDescent="0.15"/>
    <row r="1245" hidden="1" x14ac:dyDescent="0.15"/>
    <row r="1246" hidden="1" x14ac:dyDescent="0.15"/>
    <row r="1247" hidden="1" x14ac:dyDescent="0.15"/>
    <row r="1248" hidden="1" x14ac:dyDescent="0.15"/>
    <row r="1249" hidden="1" x14ac:dyDescent="0.15"/>
    <row r="1250" hidden="1" x14ac:dyDescent="0.15"/>
    <row r="1251" hidden="1" x14ac:dyDescent="0.15"/>
    <row r="1252" hidden="1" x14ac:dyDescent="0.15"/>
    <row r="1253" hidden="1" x14ac:dyDescent="0.15"/>
    <row r="1254" hidden="1" x14ac:dyDescent="0.15"/>
    <row r="1255" hidden="1" x14ac:dyDescent="0.15"/>
    <row r="1256" hidden="1" x14ac:dyDescent="0.15"/>
    <row r="1257" hidden="1" x14ac:dyDescent="0.15"/>
    <row r="1258" hidden="1" x14ac:dyDescent="0.15"/>
    <row r="1259" hidden="1" x14ac:dyDescent="0.15"/>
    <row r="1260" hidden="1" x14ac:dyDescent="0.15"/>
    <row r="1261" hidden="1" x14ac:dyDescent="0.15"/>
    <row r="1262" hidden="1" x14ac:dyDescent="0.15"/>
    <row r="1263" hidden="1" x14ac:dyDescent="0.15"/>
    <row r="1264" hidden="1" x14ac:dyDescent="0.15"/>
    <row r="1265" hidden="1" x14ac:dyDescent="0.15"/>
    <row r="1266" hidden="1" x14ac:dyDescent="0.15"/>
    <row r="1267" hidden="1" x14ac:dyDescent="0.15"/>
    <row r="1268" hidden="1" x14ac:dyDescent="0.15"/>
    <row r="1269" hidden="1" x14ac:dyDescent="0.15"/>
    <row r="1270" hidden="1" x14ac:dyDescent="0.15"/>
    <row r="1271" hidden="1" x14ac:dyDescent="0.15"/>
    <row r="1272" hidden="1" x14ac:dyDescent="0.15"/>
    <row r="1273" hidden="1" x14ac:dyDescent="0.15"/>
    <row r="1274" hidden="1" x14ac:dyDescent="0.15"/>
    <row r="1275" hidden="1" x14ac:dyDescent="0.15"/>
    <row r="1276" hidden="1" x14ac:dyDescent="0.15"/>
    <row r="1277" hidden="1" x14ac:dyDescent="0.15"/>
    <row r="1278" hidden="1" x14ac:dyDescent="0.15"/>
    <row r="1279" hidden="1" x14ac:dyDescent="0.15"/>
    <row r="1280" hidden="1" x14ac:dyDescent="0.15"/>
    <row r="1281" hidden="1" x14ac:dyDescent="0.15"/>
    <row r="1282" hidden="1" x14ac:dyDescent="0.15"/>
    <row r="1283" hidden="1" x14ac:dyDescent="0.15"/>
    <row r="1284" hidden="1" x14ac:dyDescent="0.15"/>
    <row r="1285" hidden="1" x14ac:dyDescent="0.15"/>
    <row r="1286" hidden="1" x14ac:dyDescent="0.15"/>
    <row r="1287" hidden="1" x14ac:dyDescent="0.15"/>
    <row r="1288" hidden="1" x14ac:dyDescent="0.15"/>
    <row r="1289" hidden="1" x14ac:dyDescent="0.15"/>
    <row r="1290" hidden="1" x14ac:dyDescent="0.15"/>
    <row r="1291" hidden="1" x14ac:dyDescent="0.15"/>
    <row r="1292" hidden="1" x14ac:dyDescent="0.15"/>
    <row r="1293" hidden="1" x14ac:dyDescent="0.15"/>
    <row r="1294" hidden="1" x14ac:dyDescent="0.15"/>
    <row r="1295" hidden="1" x14ac:dyDescent="0.15"/>
    <row r="1296" hidden="1" x14ac:dyDescent="0.15"/>
    <row r="1297" hidden="1" x14ac:dyDescent="0.15"/>
    <row r="1298" hidden="1" x14ac:dyDescent="0.15"/>
    <row r="1299" hidden="1" x14ac:dyDescent="0.15"/>
    <row r="1300" hidden="1" x14ac:dyDescent="0.15"/>
    <row r="1301" hidden="1" x14ac:dyDescent="0.15"/>
    <row r="1302" hidden="1" x14ac:dyDescent="0.15"/>
    <row r="1303" hidden="1" x14ac:dyDescent="0.15"/>
    <row r="1304" hidden="1" x14ac:dyDescent="0.15"/>
    <row r="1305" hidden="1" x14ac:dyDescent="0.15"/>
    <row r="1306" hidden="1" x14ac:dyDescent="0.15"/>
    <row r="1307" hidden="1" x14ac:dyDescent="0.15"/>
    <row r="1308" hidden="1" x14ac:dyDescent="0.15"/>
    <row r="1309" hidden="1" x14ac:dyDescent="0.15"/>
    <row r="1310" hidden="1" x14ac:dyDescent="0.15"/>
    <row r="1311" hidden="1" x14ac:dyDescent="0.15"/>
    <row r="1312" hidden="1" x14ac:dyDescent="0.15"/>
    <row r="1313" hidden="1" x14ac:dyDescent="0.15"/>
    <row r="1314" hidden="1" x14ac:dyDescent="0.15"/>
    <row r="1315" hidden="1" x14ac:dyDescent="0.15"/>
    <row r="1316" hidden="1" x14ac:dyDescent="0.15"/>
    <row r="1317" hidden="1" x14ac:dyDescent="0.15"/>
    <row r="1318" hidden="1" x14ac:dyDescent="0.15"/>
    <row r="1319" hidden="1" x14ac:dyDescent="0.15"/>
    <row r="1320" hidden="1" x14ac:dyDescent="0.15"/>
    <row r="1321" hidden="1" x14ac:dyDescent="0.15"/>
    <row r="1322" hidden="1" x14ac:dyDescent="0.15"/>
    <row r="1323" hidden="1" x14ac:dyDescent="0.15"/>
    <row r="1324" hidden="1" x14ac:dyDescent="0.15"/>
    <row r="1325" hidden="1" x14ac:dyDescent="0.15"/>
    <row r="1326" hidden="1" x14ac:dyDescent="0.15"/>
    <row r="1327" hidden="1" x14ac:dyDescent="0.15"/>
    <row r="1328" hidden="1" x14ac:dyDescent="0.15"/>
    <row r="1329" hidden="1" x14ac:dyDescent="0.15"/>
    <row r="1330" hidden="1" x14ac:dyDescent="0.15"/>
    <row r="1331" hidden="1" x14ac:dyDescent="0.15"/>
    <row r="1332" hidden="1" x14ac:dyDescent="0.15"/>
    <row r="1333" hidden="1" x14ac:dyDescent="0.15"/>
    <row r="1334" hidden="1" x14ac:dyDescent="0.15"/>
    <row r="1335" hidden="1" x14ac:dyDescent="0.15"/>
    <row r="1336" hidden="1" x14ac:dyDescent="0.15"/>
    <row r="1337" hidden="1" x14ac:dyDescent="0.15"/>
    <row r="1338" hidden="1" x14ac:dyDescent="0.15"/>
    <row r="1339" hidden="1" x14ac:dyDescent="0.15"/>
    <row r="1340" hidden="1" x14ac:dyDescent="0.15"/>
    <row r="1341" hidden="1" x14ac:dyDescent="0.15"/>
    <row r="1342" hidden="1" x14ac:dyDescent="0.15"/>
    <row r="1343" hidden="1" x14ac:dyDescent="0.15"/>
    <row r="1344" hidden="1" x14ac:dyDescent="0.15"/>
    <row r="1345" hidden="1" x14ac:dyDescent="0.15"/>
    <row r="1346" hidden="1" x14ac:dyDescent="0.15"/>
    <row r="1347" hidden="1" x14ac:dyDescent="0.15"/>
    <row r="1348" hidden="1" x14ac:dyDescent="0.15"/>
    <row r="1349" hidden="1" x14ac:dyDescent="0.15"/>
    <row r="1350" hidden="1" x14ac:dyDescent="0.15"/>
    <row r="1351" hidden="1" x14ac:dyDescent="0.15"/>
    <row r="1352" hidden="1" x14ac:dyDescent="0.15"/>
    <row r="1353" hidden="1" x14ac:dyDescent="0.15"/>
    <row r="1354" hidden="1" x14ac:dyDescent="0.15"/>
    <row r="1355" hidden="1" x14ac:dyDescent="0.15"/>
    <row r="1356" hidden="1" x14ac:dyDescent="0.15"/>
    <row r="1357" hidden="1" x14ac:dyDescent="0.15"/>
    <row r="1358" hidden="1" x14ac:dyDescent="0.15"/>
    <row r="1359" hidden="1" x14ac:dyDescent="0.15"/>
    <row r="1360" hidden="1" x14ac:dyDescent="0.15"/>
    <row r="1361" hidden="1" x14ac:dyDescent="0.15"/>
    <row r="1362" hidden="1" x14ac:dyDescent="0.15"/>
    <row r="1363" hidden="1" x14ac:dyDescent="0.15"/>
    <row r="1364" hidden="1" x14ac:dyDescent="0.15"/>
    <row r="1365" hidden="1" x14ac:dyDescent="0.15"/>
    <row r="1366" hidden="1" x14ac:dyDescent="0.15"/>
    <row r="1367" hidden="1" x14ac:dyDescent="0.15"/>
    <row r="1368" hidden="1" x14ac:dyDescent="0.15"/>
    <row r="1369" hidden="1" x14ac:dyDescent="0.15"/>
    <row r="1370" hidden="1" x14ac:dyDescent="0.15"/>
    <row r="1371" hidden="1" x14ac:dyDescent="0.15"/>
    <row r="1372" hidden="1" x14ac:dyDescent="0.15"/>
    <row r="1373" hidden="1" x14ac:dyDescent="0.15"/>
    <row r="1374" hidden="1" x14ac:dyDescent="0.15"/>
    <row r="1375" hidden="1" x14ac:dyDescent="0.15"/>
    <row r="1376" hidden="1" x14ac:dyDescent="0.15"/>
    <row r="1377" hidden="1" x14ac:dyDescent="0.15"/>
    <row r="1378" hidden="1" x14ac:dyDescent="0.15"/>
    <row r="1379" hidden="1" x14ac:dyDescent="0.15"/>
    <row r="1380" hidden="1" x14ac:dyDescent="0.15"/>
    <row r="1381" hidden="1" x14ac:dyDescent="0.15"/>
    <row r="1382" hidden="1" x14ac:dyDescent="0.15"/>
    <row r="1383" hidden="1" x14ac:dyDescent="0.15"/>
    <row r="1384" hidden="1" x14ac:dyDescent="0.15"/>
    <row r="1385" hidden="1" x14ac:dyDescent="0.15"/>
    <row r="1386" hidden="1" x14ac:dyDescent="0.15"/>
    <row r="1387" hidden="1" x14ac:dyDescent="0.15"/>
    <row r="1388" hidden="1" x14ac:dyDescent="0.15"/>
    <row r="1389" hidden="1" x14ac:dyDescent="0.15"/>
    <row r="1390" hidden="1" x14ac:dyDescent="0.15"/>
    <row r="1391" hidden="1" x14ac:dyDescent="0.15"/>
    <row r="1392" hidden="1" x14ac:dyDescent="0.15"/>
    <row r="1393" hidden="1" x14ac:dyDescent="0.15"/>
    <row r="1394" hidden="1" x14ac:dyDescent="0.15"/>
    <row r="1395" hidden="1" x14ac:dyDescent="0.15"/>
    <row r="1396" hidden="1" x14ac:dyDescent="0.15"/>
    <row r="1397" hidden="1" x14ac:dyDescent="0.15"/>
    <row r="1398" hidden="1" x14ac:dyDescent="0.15"/>
    <row r="1399" hidden="1" x14ac:dyDescent="0.15"/>
    <row r="1400" hidden="1" x14ac:dyDescent="0.15"/>
    <row r="1401" hidden="1" x14ac:dyDescent="0.15"/>
    <row r="1402" hidden="1" x14ac:dyDescent="0.15"/>
    <row r="1403" hidden="1" x14ac:dyDescent="0.15"/>
    <row r="1404" hidden="1" x14ac:dyDescent="0.15"/>
    <row r="1405" hidden="1" x14ac:dyDescent="0.15"/>
    <row r="1406" hidden="1" x14ac:dyDescent="0.15"/>
    <row r="1407" hidden="1" x14ac:dyDescent="0.15"/>
    <row r="1408" hidden="1" x14ac:dyDescent="0.15"/>
    <row r="1409" hidden="1" x14ac:dyDescent="0.15"/>
    <row r="1410" hidden="1" x14ac:dyDescent="0.15"/>
    <row r="1411" hidden="1" x14ac:dyDescent="0.15"/>
    <row r="1412" hidden="1" x14ac:dyDescent="0.15"/>
    <row r="1413" hidden="1" x14ac:dyDescent="0.15"/>
    <row r="1414" hidden="1" x14ac:dyDescent="0.15"/>
    <row r="1415" hidden="1" x14ac:dyDescent="0.15"/>
    <row r="1416" hidden="1" x14ac:dyDescent="0.15"/>
    <row r="1417" hidden="1" x14ac:dyDescent="0.15"/>
    <row r="1418" hidden="1" x14ac:dyDescent="0.15"/>
    <row r="1419" hidden="1" x14ac:dyDescent="0.15"/>
    <row r="1420" hidden="1" x14ac:dyDescent="0.15"/>
    <row r="1421" hidden="1" x14ac:dyDescent="0.15"/>
    <row r="1422" hidden="1" x14ac:dyDescent="0.15"/>
    <row r="1423" hidden="1" x14ac:dyDescent="0.15"/>
    <row r="1424" hidden="1" x14ac:dyDescent="0.15"/>
    <row r="1425" hidden="1" x14ac:dyDescent="0.15"/>
    <row r="1426" hidden="1" x14ac:dyDescent="0.15"/>
    <row r="1427" hidden="1" x14ac:dyDescent="0.15"/>
    <row r="1428" hidden="1" x14ac:dyDescent="0.15"/>
    <row r="1429" hidden="1" x14ac:dyDescent="0.15"/>
    <row r="1430" hidden="1" x14ac:dyDescent="0.15"/>
    <row r="1431" hidden="1" x14ac:dyDescent="0.15"/>
    <row r="1432" hidden="1" x14ac:dyDescent="0.15"/>
    <row r="1433" hidden="1" x14ac:dyDescent="0.15"/>
    <row r="1434" hidden="1" x14ac:dyDescent="0.15"/>
    <row r="1435" hidden="1" x14ac:dyDescent="0.15"/>
    <row r="1436" hidden="1" x14ac:dyDescent="0.15"/>
    <row r="1437" hidden="1" x14ac:dyDescent="0.15"/>
    <row r="1438" hidden="1" x14ac:dyDescent="0.15"/>
    <row r="1439" hidden="1" x14ac:dyDescent="0.15"/>
    <row r="1440" hidden="1" x14ac:dyDescent="0.15"/>
    <row r="1441" hidden="1" x14ac:dyDescent="0.15"/>
    <row r="1442" hidden="1" x14ac:dyDescent="0.15"/>
    <row r="1443" hidden="1" x14ac:dyDescent="0.15"/>
    <row r="1444" hidden="1" x14ac:dyDescent="0.15"/>
    <row r="1445" hidden="1" x14ac:dyDescent="0.15"/>
    <row r="1446" hidden="1" x14ac:dyDescent="0.15"/>
    <row r="1447" hidden="1" x14ac:dyDescent="0.15"/>
    <row r="1448" hidden="1" x14ac:dyDescent="0.15"/>
    <row r="1449" hidden="1" x14ac:dyDescent="0.15"/>
    <row r="1450" hidden="1" x14ac:dyDescent="0.15"/>
    <row r="1451" hidden="1" x14ac:dyDescent="0.15"/>
    <row r="1452" hidden="1" x14ac:dyDescent="0.15"/>
    <row r="1453" hidden="1" x14ac:dyDescent="0.15"/>
    <row r="1454" hidden="1" x14ac:dyDescent="0.15"/>
    <row r="1455" hidden="1" x14ac:dyDescent="0.15"/>
    <row r="1456" hidden="1" x14ac:dyDescent="0.15"/>
    <row r="1457" hidden="1" x14ac:dyDescent="0.15"/>
    <row r="1458" hidden="1" x14ac:dyDescent="0.15"/>
    <row r="1459" hidden="1" x14ac:dyDescent="0.15"/>
    <row r="1460" hidden="1" x14ac:dyDescent="0.15"/>
    <row r="1461" hidden="1" x14ac:dyDescent="0.15"/>
    <row r="1462" hidden="1" x14ac:dyDescent="0.15"/>
    <row r="1463" hidden="1" x14ac:dyDescent="0.15"/>
    <row r="1464" hidden="1" x14ac:dyDescent="0.15"/>
    <row r="1465" hidden="1" x14ac:dyDescent="0.15"/>
    <row r="1466" hidden="1" x14ac:dyDescent="0.15"/>
    <row r="1467" hidden="1" x14ac:dyDescent="0.15"/>
    <row r="1468" hidden="1" x14ac:dyDescent="0.15"/>
    <row r="1469" hidden="1" x14ac:dyDescent="0.15"/>
    <row r="1470" hidden="1" x14ac:dyDescent="0.15"/>
    <row r="1471" hidden="1" x14ac:dyDescent="0.15"/>
    <row r="1472" hidden="1" x14ac:dyDescent="0.15"/>
    <row r="1473" hidden="1" x14ac:dyDescent="0.15"/>
    <row r="1474" hidden="1" x14ac:dyDescent="0.15"/>
    <row r="1475" hidden="1" x14ac:dyDescent="0.15"/>
    <row r="1476" hidden="1" x14ac:dyDescent="0.15"/>
    <row r="1477" hidden="1" x14ac:dyDescent="0.15"/>
    <row r="1478" hidden="1" x14ac:dyDescent="0.15"/>
    <row r="1479" hidden="1" x14ac:dyDescent="0.15"/>
    <row r="1480" hidden="1" x14ac:dyDescent="0.15"/>
    <row r="1481" hidden="1" x14ac:dyDescent="0.15"/>
    <row r="1482" hidden="1" x14ac:dyDescent="0.15"/>
    <row r="1483" hidden="1" x14ac:dyDescent="0.15"/>
    <row r="1484" hidden="1" x14ac:dyDescent="0.15"/>
    <row r="1485" hidden="1" x14ac:dyDescent="0.15"/>
    <row r="1486" hidden="1" x14ac:dyDescent="0.15"/>
    <row r="1487" hidden="1" x14ac:dyDescent="0.15"/>
    <row r="1488" hidden="1" x14ac:dyDescent="0.15"/>
    <row r="1489" hidden="1" x14ac:dyDescent="0.15"/>
    <row r="1490" hidden="1" x14ac:dyDescent="0.15"/>
    <row r="1491" hidden="1" x14ac:dyDescent="0.15"/>
    <row r="1492" hidden="1" x14ac:dyDescent="0.15"/>
    <row r="1493" hidden="1" x14ac:dyDescent="0.15"/>
    <row r="1494" hidden="1" x14ac:dyDescent="0.15"/>
    <row r="1495" hidden="1" x14ac:dyDescent="0.15"/>
    <row r="1496" hidden="1" x14ac:dyDescent="0.15"/>
    <row r="1497" hidden="1" x14ac:dyDescent="0.15"/>
    <row r="1498" hidden="1" x14ac:dyDescent="0.15"/>
    <row r="1499" hidden="1" x14ac:dyDescent="0.15"/>
    <row r="1500" hidden="1" x14ac:dyDescent="0.15"/>
    <row r="1501" hidden="1" x14ac:dyDescent="0.15"/>
    <row r="1502" hidden="1" x14ac:dyDescent="0.15"/>
    <row r="1503" hidden="1" x14ac:dyDescent="0.15"/>
    <row r="1504" hidden="1" x14ac:dyDescent="0.15"/>
    <row r="1505" hidden="1" x14ac:dyDescent="0.15"/>
    <row r="1506" hidden="1" x14ac:dyDescent="0.15"/>
    <row r="1507" hidden="1" x14ac:dyDescent="0.15"/>
    <row r="1508" hidden="1" x14ac:dyDescent="0.15"/>
    <row r="1509" hidden="1" x14ac:dyDescent="0.15"/>
    <row r="1510" hidden="1" x14ac:dyDescent="0.15"/>
    <row r="1511" hidden="1" x14ac:dyDescent="0.15"/>
    <row r="1512" hidden="1" x14ac:dyDescent="0.15"/>
    <row r="1513" hidden="1" x14ac:dyDescent="0.15"/>
    <row r="1514" hidden="1" x14ac:dyDescent="0.15"/>
    <row r="1515" hidden="1" x14ac:dyDescent="0.15"/>
    <row r="1516" hidden="1" x14ac:dyDescent="0.15"/>
    <row r="1517" hidden="1" x14ac:dyDescent="0.15"/>
    <row r="1518" hidden="1" x14ac:dyDescent="0.15"/>
    <row r="1519" hidden="1" x14ac:dyDescent="0.15"/>
    <row r="1520" hidden="1" x14ac:dyDescent="0.15"/>
    <row r="1521" hidden="1" x14ac:dyDescent="0.15"/>
    <row r="1522" hidden="1" x14ac:dyDescent="0.15"/>
    <row r="1523" hidden="1" x14ac:dyDescent="0.15"/>
    <row r="1524" hidden="1" x14ac:dyDescent="0.15"/>
    <row r="1525" hidden="1" x14ac:dyDescent="0.15"/>
    <row r="1526" hidden="1" x14ac:dyDescent="0.15"/>
    <row r="1527" hidden="1" x14ac:dyDescent="0.15"/>
    <row r="1528" hidden="1" x14ac:dyDescent="0.15"/>
    <row r="1529" hidden="1" x14ac:dyDescent="0.15"/>
    <row r="1530" hidden="1" x14ac:dyDescent="0.15"/>
    <row r="1531" hidden="1" x14ac:dyDescent="0.15"/>
    <row r="1532" hidden="1" x14ac:dyDescent="0.15"/>
    <row r="1533" hidden="1" x14ac:dyDescent="0.15"/>
    <row r="1534" hidden="1" x14ac:dyDescent="0.15"/>
    <row r="1535" hidden="1" x14ac:dyDescent="0.15"/>
    <row r="1536" hidden="1" x14ac:dyDescent="0.15"/>
    <row r="1537" hidden="1" x14ac:dyDescent="0.15"/>
    <row r="1538" hidden="1" x14ac:dyDescent="0.15"/>
    <row r="1539" hidden="1" x14ac:dyDescent="0.15"/>
    <row r="1540" hidden="1" x14ac:dyDescent="0.15"/>
    <row r="1541" hidden="1" x14ac:dyDescent="0.15"/>
    <row r="1542" hidden="1" x14ac:dyDescent="0.15"/>
    <row r="1543" hidden="1" x14ac:dyDescent="0.15"/>
    <row r="1544" hidden="1" x14ac:dyDescent="0.15"/>
    <row r="1545" hidden="1" x14ac:dyDescent="0.15"/>
    <row r="1546" hidden="1" x14ac:dyDescent="0.15"/>
    <row r="1547" hidden="1" x14ac:dyDescent="0.15"/>
    <row r="1548" hidden="1" x14ac:dyDescent="0.15"/>
    <row r="1549" hidden="1" x14ac:dyDescent="0.15"/>
    <row r="1550" hidden="1" x14ac:dyDescent="0.15"/>
    <row r="1551" hidden="1" x14ac:dyDescent="0.15"/>
    <row r="1552" hidden="1" x14ac:dyDescent="0.15"/>
    <row r="1553" hidden="1" x14ac:dyDescent="0.15"/>
    <row r="1554" hidden="1" x14ac:dyDescent="0.15"/>
    <row r="1555" hidden="1" x14ac:dyDescent="0.15"/>
    <row r="1556" hidden="1" x14ac:dyDescent="0.15"/>
    <row r="1557" hidden="1" x14ac:dyDescent="0.15"/>
    <row r="1558" hidden="1" x14ac:dyDescent="0.15"/>
    <row r="1559" hidden="1" x14ac:dyDescent="0.15"/>
    <row r="1560" hidden="1" x14ac:dyDescent="0.15"/>
    <row r="1561" hidden="1" x14ac:dyDescent="0.15"/>
    <row r="1562" hidden="1" x14ac:dyDescent="0.15"/>
    <row r="1563" hidden="1" x14ac:dyDescent="0.15"/>
    <row r="1564" hidden="1" x14ac:dyDescent="0.15"/>
    <row r="1565" hidden="1" x14ac:dyDescent="0.15"/>
    <row r="1566" hidden="1" x14ac:dyDescent="0.15"/>
    <row r="1567" hidden="1" x14ac:dyDescent="0.15"/>
    <row r="1568" hidden="1" x14ac:dyDescent="0.15"/>
    <row r="1569" hidden="1" x14ac:dyDescent="0.15"/>
    <row r="1570" hidden="1" x14ac:dyDescent="0.15"/>
    <row r="1571" hidden="1" x14ac:dyDescent="0.15"/>
    <row r="1572" hidden="1" x14ac:dyDescent="0.15"/>
    <row r="1573" hidden="1" x14ac:dyDescent="0.15"/>
    <row r="1574" hidden="1" x14ac:dyDescent="0.15"/>
    <row r="1575" hidden="1" x14ac:dyDescent="0.15"/>
    <row r="1576" hidden="1" x14ac:dyDescent="0.15"/>
    <row r="1577" hidden="1" x14ac:dyDescent="0.15"/>
    <row r="1578" hidden="1" x14ac:dyDescent="0.15"/>
    <row r="1579" hidden="1" x14ac:dyDescent="0.15"/>
    <row r="1580" hidden="1" x14ac:dyDescent="0.15"/>
    <row r="1581" hidden="1" x14ac:dyDescent="0.15"/>
    <row r="1582" hidden="1" x14ac:dyDescent="0.15"/>
    <row r="1583" hidden="1" x14ac:dyDescent="0.15"/>
    <row r="1584" hidden="1" x14ac:dyDescent="0.15"/>
    <row r="1585" hidden="1" x14ac:dyDescent="0.15"/>
    <row r="1586" hidden="1" x14ac:dyDescent="0.15"/>
    <row r="1587" hidden="1" x14ac:dyDescent="0.15"/>
    <row r="1588" hidden="1" x14ac:dyDescent="0.15"/>
    <row r="1589" hidden="1" x14ac:dyDescent="0.15"/>
    <row r="1590" hidden="1" x14ac:dyDescent="0.15"/>
    <row r="1591" hidden="1" x14ac:dyDescent="0.15"/>
    <row r="1592" hidden="1" x14ac:dyDescent="0.15"/>
    <row r="1593" hidden="1" x14ac:dyDescent="0.15"/>
    <row r="1594" hidden="1" x14ac:dyDescent="0.15"/>
    <row r="1595" hidden="1" x14ac:dyDescent="0.15"/>
    <row r="1596" hidden="1" x14ac:dyDescent="0.15"/>
    <row r="1597" hidden="1" x14ac:dyDescent="0.15"/>
    <row r="1598" hidden="1" x14ac:dyDescent="0.15"/>
    <row r="1599" hidden="1" x14ac:dyDescent="0.15"/>
    <row r="1600" hidden="1" x14ac:dyDescent="0.15"/>
    <row r="1601" hidden="1" x14ac:dyDescent="0.15"/>
    <row r="1602" hidden="1" x14ac:dyDescent="0.15"/>
    <row r="1603" hidden="1" x14ac:dyDescent="0.15"/>
    <row r="1604" hidden="1" x14ac:dyDescent="0.15"/>
    <row r="1605" hidden="1" x14ac:dyDescent="0.15"/>
    <row r="1606" hidden="1" x14ac:dyDescent="0.15"/>
    <row r="1607" hidden="1" x14ac:dyDescent="0.15"/>
    <row r="1608" hidden="1" x14ac:dyDescent="0.15"/>
    <row r="1609" hidden="1" x14ac:dyDescent="0.15"/>
    <row r="1610" hidden="1" x14ac:dyDescent="0.15"/>
    <row r="1611" hidden="1" x14ac:dyDescent="0.15"/>
    <row r="1612" hidden="1" x14ac:dyDescent="0.15"/>
    <row r="1613" hidden="1" x14ac:dyDescent="0.15"/>
    <row r="1614" hidden="1" x14ac:dyDescent="0.15"/>
    <row r="1615" hidden="1" x14ac:dyDescent="0.15"/>
    <row r="1616" hidden="1" x14ac:dyDescent="0.15"/>
    <row r="1617" hidden="1" x14ac:dyDescent="0.15"/>
    <row r="1618" hidden="1" x14ac:dyDescent="0.15"/>
    <row r="1619" hidden="1" x14ac:dyDescent="0.15"/>
    <row r="1620" hidden="1" x14ac:dyDescent="0.15"/>
    <row r="1621" hidden="1" x14ac:dyDescent="0.15"/>
    <row r="1622" hidden="1" x14ac:dyDescent="0.15"/>
    <row r="1623" hidden="1" x14ac:dyDescent="0.15"/>
    <row r="1624" hidden="1" x14ac:dyDescent="0.15"/>
    <row r="1625" hidden="1" x14ac:dyDescent="0.15"/>
    <row r="1626" hidden="1" x14ac:dyDescent="0.15"/>
    <row r="1627" hidden="1" x14ac:dyDescent="0.15"/>
    <row r="1628" hidden="1" x14ac:dyDescent="0.15"/>
    <row r="1629" hidden="1" x14ac:dyDescent="0.15"/>
    <row r="1630" hidden="1" x14ac:dyDescent="0.15"/>
    <row r="1631" hidden="1" x14ac:dyDescent="0.15"/>
    <row r="1632" hidden="1" x14ac:dyDescent="0.15"/>
    <row r="1633" hidden="1" x14ac:dyDescent="0.15"/>
    <row r="1634" hidden="1" x14ac:dyDescent="0.15"/>
    <row r="1635" hidden="1" x14ac:dyDescent="0.15"/>
    <row r="1636" hidden="1" x14ac:dyDescent="0.15"/>
    <row r="1637" hidden="1" x14ac:dyDescent="0.15"/>
    <row r="1638" hidden="1" x14ac:dyDescent="0.15"/>
    <row r="1639" hidden="1" x14ac:dyDescent="0.15"/>
    <row r="1640" hidden="1" x14ac:dyDescent="0.15"/>
    <row r="1641" hidden="1" x14ac:dyDescent="0.15"/>
    <row r="1642" hidden="1" x14ac:dyDescent="0.15"/>
    <row r="1643" hidden="1" x14ac:dyDescent="0.15"/>
    <row r="1644" hidden="1" x14ac:dyDescent="0.15"/>
    <row r="1645" hidden="1" x14ac:dyDescent="0.15"/>
    <row r="1646" hidden="1" x14ac:dyDescent="0.15"/>
    <row r="1647" hidden="1" x14ac:dyDescent="0.15"/>
    <row r="1648" hidden="1" x14ac:dyDescent="0.15"/>
    <row r="1649" hidden="1" x14ac:dyDescent="0.15"/>
    <row r="1650" hidden="1" x14ac:dyDescent="0.15"/>
    <row r="1651" hidden="1" x14ac:dyDescent="0.15"/>
    <row r="1652" hidden="1" x14ac:dyDescent="0.15"/>
    <row r="1653" hidden="1" x14ac:dyDescent="0.15"/>
    <row r="1654" hidden="1" x14ac:dyDescent="0.15"/>
    <row r="1655" hidden="1" x14ac:dyDescent="0.15"/>
    <row r="1656" hidden="1" x14ac:dyDescent="0.15"/>
    <row r="1657" hidden="1" x14ac:dyDescent="0.15"/>
    <row r="1658" hidden="1" x14ac:dyDescent="0.15"/>
    <row r="1659" hidden="1" x14ac:dyDescent="0.15"/>
    <row r="1660" hidden="1" x14ac:dyDescent="0.15"/>
    <row r="1661" hidden="1" x14ac:dyDescent="0.15"/>
    <row r="1662" hidden="1" x14ac:dyDescent="0.15"/>
    <row r="1663" hidden="1" x14ac:dyDescent="0.15"/>
    <row r="1664" hidden="1" x14ac:dyDescent="0.15"/>
    <row r="1665" hidden="1" x14ac:dyDescent="0.15"/>
    <row r="1666" hidden="1" x14ac:dyDescent="0.15"/>
    <row r="1667" hidden="1" x14ac:dyDescent="0.15"/>
    <row r="1668" hidden="1" x14ac:dyDescent="0.15"/>
    <row r="1669" hidden="1" x14ac:dyDescent="0.15"/>
    <row r="1670" hidden="1" x14ac:dyDescent="0.15"/>
    <row r="1671" hidden="1" x14ac:dyDescent="0.15"/>
    <row r="1672" hidden="1" x14ac:dyDescent="0.15"/>
    <row r="1673" hidden="1" x14ac:dyDescent="0.15"/>
    <row r="1674" hidden="1" x14ac:dyDescent="0.15"/>
    <row r="1675" hidden="1" x14ac:dyDescent="0.15"/>
    <row r="1676" hidden="1" x14ac:dyDescent="0.15"/>
    <row r="1677" hidden="1" x14ac:dyDescent="0.15"/>
    <row r="1678" hidden="1" x14ac:dyDescent="0.15"/>
    <row r="1679" hidden="1" x14ac:dyDescent="0.15"/>
    <row r="1680" hidden="1" x14ac:dyDescent="0.15"/>
    <row r="1681" hidden="1" x14ac:dyDescent="0.15"/>
    <row r="1682" hidden="1" x14ac:dyDescent="0.15"/>
    <row r="1683" hidden="1" x14ac:dyDescent="0.15"/>
    <row r="1684" hidden="1" x14ac:dyDescent="0.15"/>
    <row r="1685" hidden="1" x14ac:dyDescent="0.15"/>
    <row r="1686" hidden="1" x14ac:dyDescent="0.15"/>
    <row r="1687" hidden="1" x14ac:dyDescent="0.15"/>
    <row r="1688" hidden="1" x14ac:dyDescent="0.15"/>
    <row r="1689" hidden="1" x14ac:dyDescent="0.15"/>
    <row r="1690" hidden="1" x14ac:dyDescent="0.15"/>
    <row r="1691" hidden="1" x14ac:dyDescent="0.15"/>
    <row r="1692" hidden="1" x14ac:dyDescent="0.15"/>
    <row r="1693" hidden="1" x14ac:dyDescent="0.15"/>
    <row r="1694" hidden="1" x14ac:dyDescent="0.15"/>
    <row r="1695" hidden="1" x14ac:dyDescent="0.15"/>
    <row r="1696" hidden="1" x14ac:dyDescent="0.15"/>
    <row r="1697" hidden="1" x14ac:dyDescent="0.15"/>
    <row r="1698" hidden="1" x14ac:dyDescent="0.15"/>
    <row r="1699" hidden="1" x14ac:dyDescent="0.15"/>
    <row r="1700" hidden="1" x14ac:dyDescent="0.15"/>
    <row r="1701" hidden="1" x14ac:dyDescent="0.15"/>
    <row r="1702" hidden="1" x14ac:dyDescent="0.15"/>
    <row r="1703" hidden="1" x14ac:dyDescent="0.15"/>
    <row r="1704" hidden="1" x14ac:dyDescent="0.15"/>
    <row r="1705" hidden="1" x14ac:dyDescent="0.15"/>
    <row r="1706" hidden="1" x14ac:dyDescent="0.15"/>
    <row r="1707" hidden="1" x14ac:dyDescent="0.15"/>
    <row r="1708" hidden="1" x14ac:dyDescent="0.15"/>
    <row r="1709" hidden="1" x14ac:dyDescent="0.15"/>
    <row r="1710" hidden="1" x14ac:dyDescent="0.15"/>
    <row r="1711" hidden="1" x14ac:dyDescent="0.15"/>
    <row r="1712" hidden="1" x14ac:dyDescent="0.15"/>
    <row r="1713" hidden="1" x14ac:dyDescent="0.15"/>
    <row r="1714" hidden="1" x14ac:dyDescent="0.15"/>
    <row r="1715" hidden="1" x14ac:dyDescent="0.15"/>
    <row r="1716" hidden="1" x14ac:dyDescent="0.15"/>
    <row r="1717" hidden="1" x14ac:dyDescent="0.15"/>
    <row r="1718" hidden="1" x14ac:dyDescent="0.15"/>
    <row r="1719" hidden="1" x14ac:dyDescent="0.15"/>
    <row r="1720" hidden="1" x14ac:dyDescent="0.15"/>
    <row r="1721" hidden="1" x14ac:dyDescent="0.15"/>
    <row r="1722" hidden="1" x14ac:dyDescent="0.15"/>
    <row r="1723" hidden="1" x14ac:dyDescent="0.15"/>
    <row r="1724" hidden="1" x14ac:dyDescent="0.15"/>
    <row r="1725" hidden="1" x14ac:dyDescent="0.15"/>
    <row r="1726" hidden="1" x14ac:dyDescent="0.15"/>
    <row r="1727" hidden="1" x14ac:dyDescent="0.15"/>
    <row r="1728" hidden="1" x14ac:dyDescent="0.15"/>
    <row r="1729" hidden="1" x14ac:dyDescent="0.15"/>
    <row r="1730" hidden="1" x14ac:dyDescent="0.15"/>
    <row r="1731" hidden="1" x14ac:dyDescent="0.15"/>
    <row r="1732" hidden="1" x14ac:dyDescent="0.15"/>
    <row r="1733" hidden="1" x14ac:dyDescent="0.15"/>
    <row r="1734" hidden="1" x14ac:dyDescent="0.15"/>
    <row r="1735" hidden="1" x14ac:dyDescent="0.15"/>
    <row r="1736" hidden="1" x14ac:dyDescent="0.15"/>
    <row r="1737" hidden="1" x14ac:dyDescent="0.15"/>
    <row r="1738" hidden="1" x14ac:dyDescent="0.15"/>
    <row r="1739" hidden="1" x14ac:dyDescent="0.15"/>
    <row r="1740" hidden="1" x14ac:dyDescent="0.15"/>
    <row r="1741" hidden="1" x14ac:dyDescent="0.15"/>
    <row r="1742" hidden="1" x14ac:dyDescent="0.15"/>
    <row r="1743" hidden="1" x14ac:dyDescent="0.15"/>
    <row r="1744" hidden="1" x14ac:dyDescent="0.15"/>
    <row r="1745" hidden="1" x14ac:dyDescent="0.15"/>
    <row r="1746" hidden="1" x14ac:dyDescent="0.15"/>
    <row r="1747" hidden="1" x14ac:dyDescent="0.15"/>
    <row r="1748" hidden="1" x14ac:dyDescent="0.15"/>
    <row r="1749" hidden="1" x14ac:dyDescent="0.15"/>
    <row r="1750" hidden="1" x14ac:dyDescent="0.15"/>
    <row r="1751" hidden="1" x14ac:dyDescent="0.15"/>
    <row r="1752" hidden="1" x14ac:dyDescent="0.15"/>
    <row r="1753" hidden="1" x14ac:dyDescent="0.15"/>
    <row r="1754" hidden="1" x14ac:dyDescent="0.15"/>
    <row r="1755" hidden="1" x14ac:dyDescent="0.15"/>
    <row r="1756" hidden="1" x14ac:dyDescent="0.15"/>
    <row r="1757" hidden="1" x14ac:dyDescent="0.15"/>
    <row r="1758" hidden="1" x14ac:dyDescent="0.15"/>
    <row r="1759" hidden="1" x14ac:dyDescent="0.15"/>
    <row r="1760" hidden="1" x14ac:dyDescent="0.15"/>
    <row r="1761" hidden="1" x14ac:dyDescent="0.15"/>
    <row r="1762" hidden="1" x14ac:dyDescent="0.15"/>
    <row r="1763" hidden="1" x14ac:dyDescent="0.15"/>
    <row r="1764" hidden="1" x14ac:dyDescent="0.15"/>
    <row r="1765" hidden="1" x14ac:dyDescent="0.15"/>
    <row r="1766" hidden="1" x14ac:dyDescent="0.15"/>
    <row r="1767" hidden="1" x14ac:dyDescent="0.15"/>
    <row r="1768" hidden="1" x14ac:dyDescent="0.15"/>
    <row r="1769" hidden="1" x14ac:dyDescent="0.15"/>
    <row r="1770" hidden="1" x14ac:dyDescent="0.15"/>
    <row r="1771" hidden="1" x14ac:dyDescent="0.15"/>
    <row r="1772" hidden="1" x14ac:dyDescent="0.15"/>
    <row r="1773" hidden="1" x14ac:dyDescent="0.15"/>
    <row r="1774" hidden="1" x14ac:dyDescent="0.15"/>
    <row r="1775" hidden="1" x14ac:dyDescent="0.15"/>
    <row r="1776" hidden="1" x14ac:dyDescent="0.15"/>
    <row r="1777" hidden="1" x14ac:dyDescent="0.15"/>
    <row r="1778" hidden="1" x14ac:dyDescent="0.15"/>
    <row r="1779" hidden="1" x14ac:dyDescent="0.15"/>
    <row r="1780" hidden="1" x14ac:dyDescent="0.15"/>
    <row r="1781" hidden="1" x14ac:dyDescent="0.15"/>
    <row r="1782" hidden="1" x14ac:dyDescent="0.15"/>
    <row r="1783" hidden="1" x14ac:dyDescent="0.15"/>
    <row r="1784" hidden="1" x14ac:dyDescent="0.15"/>
    <row r="1785" hidden="1" x14ac:dyDescent="0.15"/>
    <row r="1786" hidden="1" x14ac:dyDescent="0.15"/>
    <row r="1787" hidden="1" x14ac:dyDescent="0.15"/>
    <row r="1788" hidden="1" x14ac:dyDescent="0.15"/>
    <row r="1789" hidden="1" x14ac:dyDescent="0.15"/>
    <row r="1790" hidden="1" x14ac:dyDescent="0.15"/>
    <row r="1791" hidden="1" x14ac:dyDescent="0.15"/>
    <row r="1792" hidden="1" x14ac:dyDescent="0.15"/>
    <row r="1793" hidden="1" x14ac:dyDescent="0.15"/>
    <row r="1794" hidden="1" x14ac:dyDescent="0.15"/>
    <row r="1795" hidden="1" x14ac:dyDescent="0.15"/>
    <row r="1796" hidden="1" x14ac:dyDescent="0.15"/>
    <row r="1797" hidden="1" x14ac:dyDescent="0.15"/>
    <row r="1798" hidden="1" x14ac:dyDescent="0.15"/>
    <row r="1799" hidden="1" x14ac:dyDescent="0.15"/>
    <row r="1800" hidden="1" x14ac:dyDescent="0.15"/>
    <row r="1801" hidden="1" x14ac:dyDescent="0.15"/>
    <row r="1802" hidden="1" x14ac:dyDescent="0.15"/>
    <row r="1803" hidden="1" x14ac:dyDescent="0.15"/>
    <row r="1804" hidden="1" x14ac:dyDescent="0.15"/>
    <row r="1805" hidden="1" x14ac:dyDescent="0.15"/>
    <row r="1806" hidden="1" x14ac:dyDescent="0.15"/>
    <row r="1807" hidden="1" x14ac:dyDescent="0.15"/>
    <row r="1808" hidden="1" x14ac:dyDescent="0.15"/>
    <row r="1809" hidden="1" x14ac:dyDescent="0.15"/>
    <row r="1810" hidden="1" x14ac:dyDescent="0.15"/>
    <row r="1811" hidden="1" x14ac:dyDescent="0.15"/>
    <row r="1812" hidden="1" x14ac:dyDescent="0.15"/>
    <row r="1813" hidden="1" x14ac:dyDescent="0.15"/>
    <row r="1814" hidden="1" x14ac:dyDescent="0.15"/>
    <row r="1815" hidden="1" x14ac:dyDescent="0.15"/>
    <row r="1816" hidden="1" x14ac:dyDescent="0.15"/>
    <row r="1817" hidden="1" x14ac:dyDescent="0.15"/>
    <row r="1818" hidden="1" x14ac:dyDescent="0.15"/>
    <row r="1819" hidden="1" x14ac:dyDescent="0.15"/>
    <row r="1820" hidden="1" x14ac:dyDescent="0.15"/>
    <row r="1821" hidden="1" x14ac:dyDescent="0.15"/>
    <row r="1822" hidden="1" x14ac:dyDescent="0.15"/>
    <row r="1823" hidden="1" x14ac:dyDescent="0.15"/>
    <row r="1824" hidden="1" x14ac:dyDescent="0.15"/>
    <row r="1825" hidden="1" x14ac:dyDescent="0.15"/>
    <row r="1826" hidden="1" x14ac:dyDescent="0.15"/>
    <row r="1827" hidden="1" x14ac:dyDescent="0.15"/>
    <row r="1828" hidden="1" x14ac:dyDescent="0.15"/>
    <row r="1829" hidden="1" x14ac:dyDescent="0.15"/>
    <row r="1830" hidden="1" x14ac:dyDescent="0.15"/>
    <row r="1831" hidden="1" x14ac:dyDescent="0.15"/>
    <row r="1832" hidden="1" x14ac:dyDescent="0.15"/>
    <row r="1833" hidden="1" x14ac:dyDescent="0.15"/>
    <row r="1834" hidden="1" x14ac:dyDescent="0.15"/>
    <row r="1835" hidden="1" x14ac:dyDescent="0.15"/>
    <row r="1836" hidden="1" x14ac:dyDescent="0.15"/>
    <row r="1837" hidden="1" x14ac:dyDescent="0.15"/>
    <row r="1838" hidden="1" x14ac:dyDescent="0.15"/>
    <row r="1839" hidden="1" x14ac:dyDescent="0.15"/>
    <row r="1840" hidden="1" x14ac:dyDescent="0.15"/>
    <row r="1841" hidden="1" x14ac:dyDescent="0.15"/>
    <row r="1842" hidden="1" x14ac:dyDescent="0.15"/>
    <row r="1843" hidden="1" x14ac:dyDescent="0.15"/>
    <row r="1844" hidden="1" x14ac:dyDescent="0.15"/>
    <row r="1845" hidden="1" x14ac:dyDescent="0.15"/>
    <row r="1846" hidden="1" x14ac:dyDescent="0.15"/>
    <row r="1847" hidden="1" x14ac:dyDescent="0.15"/>
    <row r="1848" hidden="1" x14ac:dyDescent="0.15"/>
    <row r="1849" hidden="1" x14ac:dyDescent="0.15"/>
    <row r="1850" hidden="1" x14ac:dyDescent="0.15"/>
    <row r="1851" hidden="1" x14ac:dyDescent="0.15"/>
    <row r="1852" hidden="1" x14ac:dyDescent="0.15"/>
    <row r="1853" hidden="1" x14ac:dyDescent="0.15"/>
    <row r="1854" hidden="1" x14ac:dyDescent="0.15"/>
    <row r="1855" hidden="1" x14ac:dyDescent="0.15"/>
    <row r="1856" hidden="1" x14ac:dyDescent="0.15"/>
    <row r="1857" hidden="1" x14ac:dyDescent="0.15"/>
    <row r="1858" hidden="1" x14ac:dyDescent="0.15"/>
    <row r="1859" hidden="1" x14ac:dyDescent="0.15"/>
    <row r="1860" hidden="1" x14ac:dyDescent="0.15"/>
    <row r="1861" hidden="1" x14ac:dyDescent="0.15"/>
    <row r="1862" hidden="1" x14ac:dyDescent="0.15"/>
    <row r="1863" hidden="1" x14ac:dyDescent="0.15"/>
    <row r="1864" hidden="1" x14ac:dyDescent="0.15"/>
    <row r="1865" hidden="1" x14ac:dyDescent="0.15"/>
    <row r="1866" hidden="1" x14ac:dyDescent="0.15"/>
    <row r="1867" hidden="1" x14ac:dyDescent="0.15"/>
    <row r="1868" hidden="1" x14ac:dyDescent="0.15"/>
    <row r="1869" hidden="1" x14ac:dyDescent="0.15"/>
    <row r="1870" hidden="1" x14ac:dyDescent="0.15"/>
    <row r="1871" hidden="1" x14ac:dyDescent="0.15"/>
    <row r="1872" hidden="1" x14ac:dyDescent="0.15"/>
    <row r="1873" hidden="1" x14ac:dyDescent="0.15"/>
    <row r="1874" hidden="1" x14ac:dyDescent="0.15"/>
    <row r="1875" hidden="1" x14ac:dyDescent="0.15"/>
    <row r="1876" hidden="1" x14ac:dyDescent="0.15"/>
    <row r="1877" hidden="1" x14ac:dyDescent="0.15"/>
    <row r="1878" hidden="1" x14ac:dyDescent="0.15"/>
    <row r="1879" hidden="1" x14ac:dyDescent="0.15"/>
    <row r="1880" hidden="1" x14ac:dyDescent="0.15"/>
    <row r="1881" hidden="1" x14ac:dyDescent="0.15"/>
    <row r="1882" hidden="1" x14ac:dyDescent="0.15"/>
    <row r="1883" hidden="1" x14ac:dyDescent="0.15"/>
    <row r="1884" hidden="1" x14ac:dyDescent="0.15"/>
    <row r="1885" hidden="1" x14ac:dyDescent="0.15"/>
    <row r="1886" hidden="1" x14ac:dyDescent="0.15"/>
    <row r="1887" hidden="1" x14ac:dyDescent="0.15"/>
    <row r="1888" hidden="1" x14ac:dyDescent="0.15"/>
    <row r="1889" hidden="1" x14ac:dyDescent="0.15"/>
    <row r="1890" hidden="1" x14ac:dyDescent="0.15"/>
    <row r="1891" hidden="1" x14ac:dyDescent="0.15"/>
    <row r="1892" hidden="1" x14ac:dyDescent="0.15"/>
    <row r="1893" hidden="1" x14ac:dyDescent="0.15"/>
    <row r="1894" hidden="1" x14ac:dyDescent="0.15"/>
    <row r="1895" hidden="1" x14ac:dyDescent="0.15"/>
    <row r="1896" hidden="1" x14ac:dyDescent="0.15"/>
    <row r="1897" hidden="1" x14ac:dyDescent="0.15"/>
    <row r="1898" hidden="1" x14ac:dyDescent="0.15"/>
    <row r="1899" hidden="1" x14ac:dyDescent="0.15"/>
    <row r="1900" hidden="1" x14ac:dyDescent="0.15"/>
    <row r="1901" hidden="1" x14ac:dyDescent="0.15"/>
    <row r="1902" hidden="1" x14ac:dyDescent="0.15"/>
    <row r="1903" hidden="1" x14ac:dyDescent="0.15"/>
    <row r="1904" hidden="1" x14ac:dyDescent="0.15"/>
    <row r="1905" hidden="1" x14ac:dyDescent="0.15"/>
    <row r="1906" hidden="1" x14ac:dyDescent="0.15"/>
    <row r="1907" hidden="1" x14ac:dyDescent="0.15"/>
    <row r="1908" hidden="1" x14ac:dyDescent="0.15"/>
    <row r="1909" hidden="1" x14ac:dyDescent="0.15"/>
    <row r="1910" hidden="1" x14ac:dyDescent="0.15"/>
    <row r="1911" hidden="1" x14ac:dyDescent="0.15"/>
    <row r="1912" hidden="1" x14ac:dyDescent="0.15"/>
    <row r="1913" hidden="1" x14ac:dyDescent="0.15"/>
    <row r="1914" hidden="1" x14ac:dyDescent="0.15"/>
    <row r="1915" hidden="1" x14ac:dyDescent="0.15"/>
    <row r="1916" hidden="1" x14ac:dyDescent="0.15"/>
    <row r="1917" hidden="1" x14ac:dyDescent="0.15"/>
    <row r="1918" hidden="1" x14ac:dyDescent="0.15"/>
    <row r="1919" hidden="1" x14ac:dyDescent="0.15"/>
    <row r="1920" hidden="1" x14ac:dyDescent="0.15"/>
    <row r="1921" hidden="1" x14ac:dyDescent="0.15"/>
    <row r="1922" hidden="1" x14ac:dyDescent="0.15"/>
    <row r="1923" hidden="1" x14ac:dyDescent="0.15"/>
    <row r="1924" hidden="1" x14ac:dyDescent="0.15"/>
    <row r="1925" hidden="1" x14ac:dyDescent="0.15"/>
    <row r="1926" hidden="1" x14ac:dyDescent="0.15"/>
    <row r="1927" hidden="1" x14ac:dyDescent="0.15"/>
    <row r="1928" hidden="1" x14ac:dyDescent="0.15"/>
    <row r="1929" hidden="1" x14ac:dyDescent="0.15"/>
    <row r="1930" hidden="1" x14ac:dyDescent="0.15"/>
    <row r="1931" hidden="1" x14ac:dyDescent="0.15"/>
    <row r="1932" hidden="1" x14ac:dyDescent="0.15"/>
    <row r="1933" hidden="1" x14ac:dyDescent="0.15"/>
    <row r="1934" hidden="1" x14ac:dyDescent="0.15"/>
    <row r="1935" hidden="1" x14ac:dyDescent="0.15"/>
    <row r="1936" hidden="1" x14ac:dyDescent="0.15"/>
    <row r="1937" hidden="1" x14ac:dyDescent="0.15"/>
    <row r="1938" hidden="1" x14ac:dyDescent="0.15"/>
    <row r="1939" hidden="1" x14ac:dyDescent="0.15"/>
    <row r="1940" hidden="1" x14ac:dyDescent="0.15"/>
    <row r="1941" hidden="1" x14ac:dyDescent="0.15"/>
    <row r="1942" hidden="1" x14ac:dyDescent="0.15"/>
    <row r="1943" hidden="1" x14ac:dyDescent="0.15"/>
    <row r="1944" hidden="1" x14ac:dyDescent="0.15"/>
    <row r="1945" hidden="1" x14ac:dyDescent="0.15"/>
    <row r="1946" hidden="1" x14ac:dyDescent="0.15"/>
    <row r="1947" hidden="1" x14ac:dyDescent="0.15"/>
    <row r="1948" hidden="1" x14ac:dyDescent="0.15"/>
    <row r="1949" hidden="1" x14ac:dyDescent="0.15"/>
    <row r="1950" hidden="1" x14ac:dyDescent="0.15"/>
    <row r="1951" hidden="1" x14ac:dyDescent="0.15"/>
    <row r="1952" hidden="1" x14ac:dyDescent="0.15"/>
    <row r="1953" hidden="1" x14ac:dyDescent="0.15"/>
    <row r="1954" hidden="1" x14ac:dyDescent="0.15"/>
    <row r="1955" hidden="1" x14ac:dyDescent="0.15"/>
    <row r="1956" hidden="1" x14ac:dyDescent="0.15"/>
    <row r="1957" hidden="1" x14ac:dyDescent="0.15"/>
    <row r="1958" hidden="1" x14ac:dyDescent="0.15"/>
    <row r="1959" hidden="1" x14ac:dyDescent="0.15"/>
    <row r="1960" hidden="1" x14ac:dyDescent="0.15"/>
    <row r="1961" hidden="1" x14ac:dyDescent="0.15"/>
    <row r="1962" hidden="1" x14ac:dyDescent="0.15"/>
    <row r="1963" hidden="1" x14ac:dyDescent="0.15"/>
    <row r="1964" hidden="1" x14ac:dyDescent="0.15"/>
    <row r="1965" hidden="1" x14ac:dyDescent="0.15"/>
    <row r="1966" hidden="1" x14ac:dyDescent="0.15"/>
    <row r="1967" hidden="1" x14ac:dyDescent="0.15"/>
    <row r="1968" hidden="1" x14ac:dyDescent="0.15"/>
    <row r="1969" hidden="1" x14ac:dyDescent="0.15"/>
    <row r="1970" hidden="1" x14ac:dyDescent="0.15"/>
    <row r="1971" hidden="1" x14ac:dyDescent="0.15"/>
    <row r="1972" hidden="1" x14ac:dyDescent="0.15"/>
    <row r="1973" hidden="1" x14ac:dyDescent="0.15"/>
    <row r="1974" hidden="1" x14ac:dyDescent="0.15"/>
    <row r="1975" hidden="1" x14ac:dyDescent="0.15"/>
    <row r="1976" hidden="1" x14ac:dyDescent="0.15"/>
    <row r="1977" hidden="1" x14ac:dyDescent="0.15"/>
    <row r="1978" hidden="1" x14ac:dyDescent="0.15"/>
    <row r="1979" hidden="1" x14ac:dyDescent="0.15"/>
    <row r="1980" hidden="1" x14ac:dyDescent="0.15"/>
    <row r="1981" hidden="1" x14ac:dyDescent="0.15"/>
    <row r="1982" hidden="1" x14ac:dyDescent="0.15"/>
    <row r="1983" hidden="1" x14ac:dyDescent="0.15"/>
    <row r="1984" hidden="1" x14ac:dyDescent="0.15"/>
    <row r="1985" hidden="1" x14ac:dyDescent="0.15"/>
    <row r="1986" hidden="1" x14ac:dyDescent="0.15"/>
    <row r="1987" hidden="1" x14ac:dyDescent="0.15"/>
    <row r="1988" hidden="1" x14ac:dyDescent="0.15"/>
    <row r="1989" hidden="1" x14ac:dyDescent="0.15"/>
    <row r="1990" hidden="1" x14ac:dyDescent="0.15"/>
    <row r="1991" hidden="1" x14ac:dyDescent="0.15"/>
    <row r="1992" hidden="1" x14ac:dyDescent="0.15"/>
    <row r="1993" hidden="1" x14ac:dyDescent="0.15"/>
    <row r="1994" hidden="1" x14ac:dyDescent="0.15"/>
    <row r="1995" hidden="1" x14ac:dyDescent="0.15"/>
    <row r="1996" hidden="1" x14ac:dyDescent="0.15"/>
    <row r="1997" hidden="1" x14ac:dyDescent="0.15"/>
    <row r="1998" hidden="1" x14ac:dyDescent="0.15"/>
    <row r="1999" hidden="1" x14ac:dyDescent="0.15"/>
    <row r="2000" hidden="1" x14ac:dyDescent="0.15"/>
    <row r="2001" hidden="1" x14ac:dyDescent="0.15"/>
    <row r="2002" hidden="1" x14ac:dyDescent="0.15"/>
    <row r="2003" hidden="1" x14ac:dyDescent="0.15"/>
    <row r="2004" hidden="1" x14ac:dyDescent="0.15"/>
    <row r="2005" hidden="1" x14ac:dyDescent="0.15"/>
    <row r="2006" hidden="1" x14ac:dyDescent="0.15"/>
    <row r="2007" hidden="1" x14ac:dyDescent="0.15"/>
    <row r="2008" hidden="1" x14ac:dyDescent="0.15"/>
    <row r="2009" hidden="1" x14ac:dyDescent="0.15"/>
    <row r="2010" hidden="1" x14ac:dyDescent="0.15"/>
    <row r="2011" hidden="1" x14ac:dyDescent="0.15"/>
    <row r="2012" hidden="1" x14ac:dyDescent="0.15"/>
    <row r="2013" hidden="1" x14ac:dyDescent="0.15"/>
    <row r="2014" hidden="1" x14ac:dyDescent="0.15"/>
    <row r="2015" hidden="1" x14ac:dyDescent="0.15"/>
    <row r="2016" hidden="1" x14ac:dyDescent="0.15"/>
    <row r="2017" hidden="1" x14ac:dyDescent="0.15"/>
    <row r="2018" hidden="1" x14ac:dyDescent="0.15"/>
    <row r="2019" hidden="1" x14ac:dyDescent="0.15"/>
    <row r="2020" hidden="1" x14ac:dyDescent="0.15"/>
    <row r="2021" hidden="1" x14ac:dyDescent="0.15"/>
    <row r="2022" hidden="1" x14ac:dyDescent="0.15"/>
    <row r="2023" hidden="1" x14ac:dyDescent="0.15"/>
    <row r="2024" hidden="1" x14ac:dyDescent="0.15"/>
    <row r="2025" hidden="1" x14ac:dyDescent="0.15"/>
    <row r="2026" hidden="1" x14ac:dyDescent="0.15"/>
    <row r="2027" hidden="1" x14ac:dyDescent="0.15"/>
    <row r="2028" hidden="1" x14ac:dyDescent="0.15"/>
    <row r="2029" hidden="1" x14ac:dyDescent="0.15"/>
    <row r="2030" hidden="1" x14ac:dyDescent="0.15"/>
    <row r="2031" hidden="1" x14ac:dyDescent="0.15"/>
    <row r="2032" hidden="1" x14ac:dyDescent="0.15"/>
    <row r="2033" hidden="1" x14ac:dyDescent="0.15"/>
    <row r="2034" hidden="1" x14ac:dyDescent="0.15"/>
    <row r="2035" hidden="1" x14ac:dyDescent="0.15"/>
    <row r="2036" hidden="1" x14ac:dyDescent="0.15"/>
    <row r="2037" hidden="1" x14ac:dyDescent="0.15"/>
    <row r="2038" hidden="1" x14ac:dyDescent="0.15"/>
    <row r="2039" hidden="1" x14ac:dyDescent="0.15"/>
    <row r="2040" hidden="1" x14ac:dyDescent="0.15"/>
    <row r="2041" hidden="1" x14ac:dyDescent="0.15"/>
    <row r="2042" hidden="1" x14ac:dyDescent="0.15"/>
    <row r="2043" hidden="1" x14ac:dyDescent="0.15"/>
    <row r="2044" hidden="1" x14ac:dyDescent="0.15"/>
    <row r="2045" hidden="1" x14ac:dyDescent="0.15"/>
    <row r="2046" hidden="1" x14ac:dyDescent="0.15"/>
    <row r="2047" hidden="1" x14ac:dyDescent="0.15"/>
    <row r="2048" hidden="1" x14ac:dyDescent="0.15"/>
    <row r="2049" hidden="1" x14ac:dyDescent="0.15"/>
    <row r="2050" hidden="1" x14ac:dyDescent="0.15"/>
    <row r="2051" hidden="1" x14ac:dyDescent="0.15"/>
    <row r="2052" hidden="1" x14ac:dyDescent="0.15"/>
    <row r="2053" hidden="1" x14ac:dyDescent="0.15"/>
    <row r="2054" hidden="1" x14ac:dyDescent="0.15"/>
    <row r="2055" hidden="1" x14ac:dyDescent="0.15"/>
    <row r="2056" hidden="1" x14ac:dyDescent="0.15"/>
    <row r="2057" hidden="1" x14ac:dyDescent="0.15"/>
    <row r="2058" hidden="1" x14ac:dyDescent="0.15"/>
    <row r="2059" hidden="1" x14ac:dyDescent="0.15"/>
    <row r="2060" hidden="1" x14ac:dyDescent="0.15"/>
    <row r="2061" hidden="1" x14ac:dyDescent="0.15"/>
    <row r="2062" hidden="1" x14ac:dyDescent="0.15"/>
    <row r="2063" hidden="1" x14ac:dyDescent="0.15"/>
    <row r="2064" hidden="1" x14ac:dyDescent="0.15"/>
    <row r="2065" hidden="1" x14ac:dyDescent="0.15"/>
    <row r="2066" hidden="1" x14ac:dyDescent="0.15"/>
    <row r="2067" hidden="1" x14ac:dyDescent="0.15"/>
    <row r="2068" hidden="1" x14ac:dyDescent="0.15"/>
    <row r="2069" hidden="1" x14ac:dyDescent="0.15"/>
    <row r="2070" hidden="1" x14ac:dyDescent="0.15"/>
    <row r="2071" hidden="1" x14ac:dyDescent="0.15"/>
    <row r="2072" hidden="1" x14ac:dyDescent="0.15"/>
    <row r="2073" hidden="1" x14ac:dyDescent="0.15"/>
    <row r="2074" hidden="1" x14ac:dyDescent="0.15"/>
    <row r="2075" hidden="1" x14ac:dyDescent="0.15"/>
    <row r="2076" hidden="1" x14ac:dyDescent="0.15"/>
    <row r="2077" hidden="1" x14ac:dyDescent="0.15"/>
    <row r="2078" hidden="1" x14ac:dyDescent="0.15"/>
    <row r="2079" hidden="1" x14ac:dyDescent="0.15"/>
    <row r="2080" hidden="1" x14ac:dyDescent="0.15"/>
    <row r="2081" hidden="1" x14ac:dyDescent="0.15"/>
    <row r="2082" hidden="1" x14ac:dyDescent="0.15"/>
    <row r="2083" hidden="1" x14ac:dyDescent="0.15"/>
    <row r="2084" hidden="1" x14ac:dyDescent="0.15"/>
    <row r="2085" hidden="1" x14ac:dyDescent="0.15"/>
    <row r="2086" hidden="1" x14ac:dyDescent="0.15"/>
    <row r="2087" hidden="1" x14ac:dyDescent="0.15"/>
    <row r="2088" hidden="1" x14ac:dyDescent="0.15"/>
    <row r="2089" hidden="1" x14ac:dyDescent="0.15"/>
    <row r="2090" hidden="1" x14ac:dyDescent="0.15"/>
    <row r="2091" hidden="1" x14ac:dyDescent="0.15"/>
    <row r="2092" hidden="1" x14ac:dyDescent="0.15"/>
    <row r="2093" hidden="1" x14ac:dyDescent="0.15"/>
    <row r="2094" hidden="1" x14ac:dyDescent="0.15"/>
    <row r="2095" hidden="1" x14ac:dyDescent="0.15"/>
    <row r="2096" hidden="1" x14ac:dyDescent="0.15"/>
    <row r="2097" hidden="1" x14ac:dyDescent="0.15"/>
    <row r="2098" hidden="1" x14ac:dyDescent="0.15"/>
    <row r="2099" hidden="1" x14ac:dyDescent="0.15"/>
    <row r="2100" hidden="1" x14ac:dyDescent="0.15"/>
    <row r="2101" hidden="1" x14ac:dyDescent="0.15"/>
    <row r="2102" hidden="1" x14ac:dyDescent="0.15"/>
    <row r="2103" hidden="1" x14ac:dyDescent="0.15"/>
    <row r="2104" hidden="1" x14ac:dyDescent="0.15"/>
    <row r="2105" hidden="1" x14ac:dyDescent="0.15"/>
    <row r="2106" hidden="1" x14ac:dyDescent="0.15"/>
    <row r="2107" hidden="1" x14ac:dyDescent="0.15"/>
    <row r="2108" hidden="1" x14ac:dyDescent="0.15"/>
    <row r="2109" hidden="1" x14ac:dyDescent="0.15"/>
    <row r="2110" hidden="1" x14ac:dyDescent="0.15"/>
    <row r="2111" hidden="1" x14ac:dyDescent="0.15"/>
    <row r="2112" hidden="1" x14ac:dyDescent="0.15"/>
    <row r="2113" hidden="1" x14ac:dyDescent="0.15"/>
    <row r="2114" hidden="1" x14ac:dyDescent="0.15"/>
    <row r="2115" hidden="1" x14ac:dyDescent="0.15"/>
    <row r="2116" hidden="1" x14ac:dyDescent="0.15"/>
    <row r="2117" hidden="1" x14ac:dyDescent="0.15"/>
    <row r="2118" hidden="1" x14ac:dyDescent="0.15"/>
    <row r="2119" hidden="1" x14ac:dyDescent="0.15"/>
    <row r="2120" hidden="1" x14ac:dyDescent="0.15"/>
    <row r="2121" hidden="1" x14ac:dyDescent="0.15"/>
    <row r="2122" hidden="1" x14ac:dyDescent="0.15"/>
    <row r="2123" hidden="1" x14ac:dyDescent="0.15"/>
    <row r="2124" hidden="1" x14ac:dyDescent="0.15"/>
    <row r="2125" hidden="1" x14ac:dyDescent="0.15"/>
    <row r="2126" hidden="1" x14ac:dyDescent="0.15"/>
    <row r="2127" hidden="1" x14ac:dyDescent="0.15"/>
    <row r="2128" hidden="1" x14ac:dyDescent="0.15"/>
    <row r="2129" hidden="1" x14ac:dyDescent="0.15"/>
    <row r="2130" hidden="1" x14ac:dyDescent="0.15"/>
    <row r="2131" hidden="1" x14ac:dyDescent="0.15"/>
    <row r="2132" hidden="1" x14ac:dyDescent="0.15"/>
    <row r="2133" hidden="1" x14ac:dyDescent="0.15"/>
    <row r="2134" hidden="1" x14ac:dyDescent="0.15"/>
    <row r="2135" hidden="1" x14ac:dyDescent="0.15"/>
    <row r="2136" hidden="1" x14ac:dyDescent="0.15"/>
    <row r="2137" hidden="1" x14ac:dyDescent="0.15"/>
    <row r="2138" hidden="1" x14ac:dyDescent="0.15"/>
    <row r="2139" hidden="1" x14ac:dyDescent="0.15"/>
    <row r="2140" hidden="1" x14ac:dyDescent="0.15"/>
    <row r="2141" hidden="1" x14ac:dyDescent="0.15"/>
    <row r="2142" hidden="1" x14ac:dyDescent="0.15"/>
    <row r="2143" hidden="1" x14ac:dyDescent="0.15"/>
    <row r="2144" hidden="1" x14ac:dyDescent="0.15"/>
    <row r="2145" hidden="1" x14ac:dyDescent="0.15"/>
    <row r="2146" hidden="1" x14ac:dyDescent="0.15"/>
    <row r="2147" hidden="1" x14ac:dyDescent="0.15"/>
    <row r="2148" hidden="1" x14ac:dyDescent="0.15"/>
    <row r="2149" hidden="1" x14ac:dyDescent="0.15"/>
    <row r="2150" hidden="1" x14ac:dyDescent="0.15"/>
    <row r="2151" hidden="1" x14ac:dyDescent="0.15"/>
    <row r="2152" hidden="1" x14ac:dyDescent="0.15"/>
    <row r="2153" hidden="1" x14ac:dyDescent="0.15"/>
    <row r="2154" hidden="1" x14ac:dyDescent="0.15"/>
    <row r="2155" hidden="1" x14ac:dyDescent="0.15"/>
    <row r="2156" hidden="1" x14ac:dyDescent="0.15"/>
    <row r="2157" hidden="1" x14ac:dyDescent="0.15"/>
    <row r="2158" hidden="1" x14ac:dyDescent="0.15"/>
    <row r="2159" hidden="1" x14ac:dyDescent="0.15"/>
    <row r="2160" hidden="1" x14ac:dyDescent="0.15"/>
    <row r="2161" hidden="1" x14ac:dyDescent="0.15"/>
    <row r="2162" hidden="1" x14ac:dyDescent="0.15"/>
    <row r="2163" hidden="1" x14ac:dyDescent="0.15"/>
    <row r="2164" hidden="1" x14ac:dyDescent="0.15"/>
    <row r="2165" hidden="1" x14ac:dyDescent="0.15"/>
    <row r="2166" hidden="1" x14ac:dyDescent="0.15"/>
    <row r="2167" hidden="1" x14ac:dyDescent="0.15"/>
    <row r="2168" hidden="1" x14ac:dyDescent="0.15"/>
    <row r="2169" hidden="1" x14ac:dyDescent="0.15"/>
    <row r="2170" hidden="1" x14ac:dyDescent="0.15"/>
    <row r="2171" hidden="1" x14ac:dyDescent="0.15"/>
    <row r="2172" hidden="1" x14ac:dyDescent="0.15"/>
    <row r="2173" hidden="1" x14ac:dyDescent="0.15"/>
    <row r="2174" hidden="1" x14ac:dyDescent="0.15"/>
    <row r="2175" hidden="1" x14ac:dyDescent="0.15"/>
    <row r="2176" hidden="1" x14ac:dyDescent="0.15"/>
    <row r="2177" hidden="1" x14ac:dyDescent="0.15"/>
    <row r="2178" hidden="1" x14ac:dyDescent="0.15"/>
    <row r="2179" hidden="1" x14ac:dyDescent="0.15"/>
    <row r="2180" hidden="1" x14ac:dyDescent="0.15"/>
    <row r="2181" hidden="1" x14ac:dyDescent="0.15"/>
    <row r="2182" hidden="1" x14ac:dyDescent="0.15"/>
    <row r="2183" hidden="1" x14ac:dyDescent="0.15"/>
    <row r="2184" hidden="1" x14ac:dyDescent="0.15"/>
    <row r="2185" hidden="1" x14ac:dyDescent="0.15"/>
    <row r="2186" hidden="1" x14ac:dyDescent="0.15"/>
    <row r="2187" hidden="1" x14ac:dyDescent="0.15"/>
    <row r="2188" hidden="1" x14ac:dyDescent="0.15"/>
    <row r="2189" hidden="1" x14ac:dyDescent="0.15"/>
    <row r="2190" hidden="1" x14ac:dyDescent="0.15"/>
    <row r="2191" hidden="1" x14ac:dyDescent="0.15"/>
    <row r="2192" hidden="1" x14ac:dyDescent="0.15"/>
    <row r="2193" hidden="1" x14ac:dyDescent="0.15"/>
    <row r="2194" hidden="1" x14ac:dyDescent="0.15"/>
    <row r="2195" hidden="1" x14ac:dyDescent="0.15"/>
    <row r="2196" hidden="1" x14ac:dyDescent="0.15"/>
    <row r="2197" hidden="1" x14ac:dyDescent="0.15"/>
    <row r="2198" hidden="1" x14ac:dyDescent="0.15"/>
    <row r="2199" hidden="1" x14ac:dyDescent="0.15"/>
    <row r="2200" hidden="1" x14ac:dyDescent="0.15"/>
    <row r="2201" hidden="1" x14ac:dyDescent="0.15"/>
    <row r="2202" hidden="1" x14ac:dyDescent="0.15"/>
    <row r="2203" hidden="1" x14ac:dyDescent="0.15"/>
    <row r="2204" hidden="1" x14ac:dyDescent="0.15"/>
    <row r="2205" hidden="1" x14ac:dyDescent="0.15"/>
    <row r="2206" hidden="1" x14ac:dyDescent="0.15"/>
    <row r="2207" hidden="1" x14ac:dyDescent="0.15"/>
    <row r="2208" hidden="1" x14ac:dyDescent="0.15"/>
    <row r="2209" hidden="1" x14ac:dyDescent="0.15"/>
    <row r="2210" hidden="1" x14ac:dyDescent="0.15"/>
    <row r="2211" hidden="1" x14ac:dyDescent="0.15"/>
    <row r="2212" hidden="1" x14ac:dyDescent="0.15"/>
    <row r="2213" hidden="1" x14ac:dyDescent="0.15"/>
    <row r="2214" hidden="1" x14ac:dyDescent="0.15"/>
    <row r="2215" hidden="1" x14ac:dyDescent="0.15"/>
    <row r="2216" hidden="1" x14ac:dyDescent="0.15"/>
    <row r="2217" hidden="1" x14ac:dyDescent="0.15"/>
    <row r="2218" hidden="1" x14ac:dyDescent="0.15"/>
    <row r="2219" hidden="1" x14ac:dyDescent="0.15"/>
    <row r="2220" hidden="1" x14ac:dyDescent="0.15"/>
    <row r="2221" hidden="1" x14ac:dyDescent="0.15"/>
    <row r="2222" hidden="1" x14ac:dyDescent="0.15"/>
    <row r="2223" hidden="1" x14ac:dyDescent="0.15"/>
    <row r="2224" hidden="1" x14ac:dyDescent="0.15"/>
    <row r="2225" hidden="1" x14ac:dyDescent="0.15"/>
    <row r="2226" hidden="1" x14ac:dyDescent="0.15"/>
    <row r="2227" hidden="1" x14ac:dyDescent="0.15"/>
    <row r="2228" hidden="1" x14ac:dyDescent="0.15"/>
    <row r="2229" hidden="1" x14ac:dyDescent="0.15"/>
    <row r="2230" hidden="1" x14ac:dyDescent="0.15"/>
    <row r="2231" hidden="1" x14ac:dyDescent="0.15"/>
    <row r="2232" hidden="1" x14ac:dyDescent="0.15"/>
    <row r="2233" hidden="1" x14ac:dyDescent="0.15"/>
    <row r="2234" hidden="1" x14ac:dyDescent="0.15"/>
    <row r="2235" hidden="1" x14ac:dyDescent="0.15"/>
    <row r="2236" hidden="1" x14ac:dyDescent="0.15"/>
    <row r="2237" hidden="1" x14ac:dyDescent="0.15"/>
    <row r="2238" hidden="1" x14ac:dyDescent="0.15"/>
    <row r="2239" hidden="1" x14ac:dyDescent="0.15"/>
    <row r="2240" hidden="1" x14ac:dyDescent="0.15"/>
    <row r="2241" hidden="1" x14ac:dyDescent="0.15"/>
    <row r="2242" hidden="1" x14ac:dyDescent="0.15"/>
    <row r="2243" hidden="1" x14ac:dyDescent="0.15"/>
    <row r="2244" hidden="1" x14ac:dyDescent="0.15"/>
    <row r="2245" hidden="1" x14ac:dyDescent="0.15"/>
    <row r="2246" hidden="1" x14ac:dyDescent="0.15"/>
    <row r="2247" hidden="1" x14ac:dyDescent="0.15"/>
    <row r="2248" hidden="1" x14ac:dyDescent="0.15"/>
    <row r="2249" hidden="1" x14ac:dyDescent="0.15"/>
    <row r="2250" hidden="1" x14ac:dyDescent="0.15"/>
    <row r="2251" hidden="1" x14ac:dyDescent="0.15"/>
    <row r="2252" hidden="1" x14ac:dyDescent="0.15"/>
    <row r="2253" hidden="1" x14ac:dyDescent="0.15"/>
    <row r="2254" hidden="1" x14ac:dyDescent="0.15"/>
    <row r="2255" hidden="1" x14ac:dyDescent="0.15"/>
    <row r="2256" hidden="1" x14ac:dyDescent="0.15"/>
    <row r="2257" hidden="1" x14ac:dyDescent="0.15"/>
    <row r="2258" hidden="1" x14ac:dyDescent="0.15"/>
    <row r="2259" hidden="1" x14ac:dyDescent="0.15"/>
    <row r="2260" hidden="1" x14ac:dyDescent="0.15"/>
    <row r="2261" hidden="1" x14ac:dyDescent="0.15"/>
    <row r="2262" hidden="1" x14ac:dyDescent="0.15"/>
    <row r="2263" hidden="1" x14ac:dyDescent="0.15"/>
    <row r="2264" hidden="1" x14ac:dyDescent="0.15"/>
    <row r="2265" hidden="1" x14ac:dyDescent="0.15"/>
    <row r="2266" hidden="1" x14ac:dyDescent="0.15"/>
    <row r="2267" hidden="1" x14ac:dyDescent="0.15"/>
    <row r="2268" hidden="1" x14ac:dyDescent="0.15"/>
    <row r="2269" hidden="1" x14ac:dyDescent="0.15"/>
    <row r="2270" hidden="1" x14ac:dyDescent="0.15"/>
    <row r="2271" hidden="1" x14ac:dyDescent="0.15"/>
    <row r="2272" hidden="1" x14ac:dyDescent="0.15"/>
    <row r="2273" hidden="1" x14ac:dyDescent="0.15"/>
    <row r="2274" hidden="1" x14ac:dyDescent="0.15"/>
    <row r="2275" hidden="1" x14ac:dyDescent="0.15"/>
    <row r="2276" hidden="1" x14ac:dyDescent="0.15"/>
    <row r="2277" hidden="1" x14ac:dyDescent="0.15"/>
    <row r="2278" hidden="1" x14ac:dyDescent="0.15"/>
    <row r="2279" hidden="1" x14ac:dyDescent="0.15"/>
    <row r="2280" hidden="1" x14ac:dyDescent="0.15"/>
    <row r="2281" hidden="1" x14ac:dyDescent="0.15"/>
    <row r="2282" hidden="1" x14ac:dyDescent="0.15"/>
    <row r="2283" hidden="1" x14ac:dyDescent="0.15"/>
    <row r="2284" hidden="1" x14ac:dyDescent="0.15"/>
    <row r="2285" hidden="1" x14ac:dyDescent="0.15"/>
    <row r="2286" hidden="1" x14ac:dyDescent="0.15"/>
    <row r="2287" hidden="1" x14ac:dyDescent="0.15"/>
    <row r="2288" hidden="1" x14ac:dyDescent="0.15"/>
    <row r="2289" hidden="1" x14ac:dyDescent="0.15"/>
    <row r="2290" hidden="1" x14ac:dyDescent="0.15"/>
    <row r="2291" hidden="1" x14ac:dyDescent="0.15"/>
    <row r="2292" hidden="1" x14ac:dyDescent="0.15"/>
    <row r="2293" hidden="1" x14ac:dyDescent="0.15"/>
    <row r="2294" hidden="1" x14ac:dyDescent="0.15"/>
    <row r="2295" hidden="1" x14ac:dyDescent="0.15"/>
    <row r="2296" hidden="1" x14ac:dyDescent="0.15"/>
    <row r="2297" hidden="1" x14ac:dyDescent="0.15"/>
    <row r="2298" hidden="1" x14ac:dyDescent="0.15"/>
    <row r="2299" hidden="1" x14ac:dyDescent="0.15"/>
    <row r="2300" hidden="1" x14ac:dyDescent="0.15"/>
    <row r="2301" hidden="1" x14ac:dyDescent="0.15"/>
    <row r="2302" hidden="1" x14ac:dyDescent="0.15"/>
    <row r="2303" hidden="1" x14ac:dyDescent="0.15"/>
    <row r="2304" hidden="1" x14ac:dyDescent="0.15"/>
    <row r="2305" hidden="1" x14ac:dyDescent="0.15"/>
    <row r="2306" hidden="1" x14ac:dyDescent="0.15"/>
    <row r="2307" hidden="1" x14ac:dyDescent="0.15"/>
    <row r="2308" hidden="1" x14ac:dyDescent="0.15"/>
    <row r="2309" hidden="1" x14ac:dyDescent="0.15"/>
    <row r="2310" hidden="1" x14ac:dyDescent="0.15"/>
    <row r="2311" hidden="1" x14ac:dyDescent="0.15"/>
    <row r="2312" hidden="1" x14ac:dyDescent="0.15"/>
    <row r="2313" hidden="1" x14ac:dyDescent="0.15"/>
    <row r="2314" hidden="1" x14ac:dyDescent="0.15"/>
    <row r="2315" hidden="1" x14ac:dyDescent="0.15"/>
    <row r="2316" hidden="1" x14ac:dyDescent="0.15"/>
    <row r="2317" hidden="1" x14ac:dyDescent="0.15"/>
    <row r="2318" hidden="1" x14ac:dyDescent="0.15"/>
    <row r="2319" hidden="1" x14ac:dyDescent="0.15"/>
    <row r="2320" hidden="1" x14ac:dyDescent="0.15"/>
    <row r="2321" hidden="1" x14ac:dyDescent="0.15"/>
    <row r="2322" hidden="1" x14ac:dyDescent="0.15"/>
    <row r="2323" hidden="1" x14ac:dyDescent="0.15"/>
    <row r="2324" hidden="1" x14ac:dyDescent="0.15"/>
    <row r="2325" hidden="1" x14ac:dyDescent="0.15"/>
    <row r="2326" hidden="1" x14ac:dyDescent="0.15"/>
    <row r="2327" hidden="1" x14ac:dyDescent="0.15"/>
    <row r="2328" hidden="1" x14ac:dyDescent="0.15"/>
    <row r="2329" hidden="1" x14ac:dyDescent="0.15"/>
    <row r="2330" hidden="1" x14ac:dyDescent="0.15"/>
    <row r="2331" hidden="1" x14ac:dyDescent="0.15"/>
    <row r="2332" hidden="1" x14ac:dyDescent="0.15"/>
    <row r="2333" hidden="1" x14ac:dyDescent="0.15"/>
    <row r="2334" hidden="1" x14ac:dyDescent="0.15"/>
    <row r="2335" hidden="1" x14ac:dyDescent="0.15"/>
    <row r="2336" hidden="1" x14ac:dyDescent="0.15"/>
    <row r="2337" hidden="1" x14ac:dyDescent="0.15"/>
    <row r="2338" hidden="1" x14ac:dyDescent="0.15"/>
    <row r="2339" hidden="1" x14ac:dyDescent="0.15"/>
    <row r="2340" hidden="1" x14ac:dyDescent="0.15"/>
    <row r="2341" hidden="1" x14ac:dyDescent="0.15"/>
    <row r="2342" hidden="1" x14ac:dyDescent="0.15"/>
    <row r="2343" hidden="1" x14ac:dyDescent="0.15"/>
    <row r="2344" hidden="1" x14ac:dyDescent="0.15"/>
    <row r="2345" hidden="1" x14ac:dyDescent="0.15"/>
    <row r="2346" hidden="1" x14ac:dyDescent="0.15"/>
    <row r="2347" hidden="1" x14ac:dyDescent="0.15"/>
    <row r="2348" hidden="1" x14ac:dyDescent="0.15"/>
    <row r="2349" hidden="1" x14ac:dyDescent="0.15"/>
    <row r="2350" hidden="1" x14ac:dyDescent="0.15"/>
    <row r="2351" hidden="1" x14ac:dyDescent="0.15"/>
    <row r="2352" hidden="1" x14ac:dyDescent="0.15"/>
    <row r="2353" hidden="1" x14ac:dyDescent="0.15"/>
    <row r="2354" hidden="1" x14ac:dyDescent="0.15"/>
    <row r="2355" hidden="1" x14ac:dyDescent="0.15"/>
    <row r="2356" hidden="1" x14ac:dyDescent="0.15"/>
    <row r="2357" hidden="1" x14ac:dyDescent="0.15"/>
    <row r="2358" hidden="1" x14ac:dyDescent="0.15"/>
    <row r="2359" hidden="1" x14ac:dyDescent="0.15"/>
    <row r="2360" hidden="1" x14ac:dyDescent="0.15"/>
    <row r="2361" hidden="1" x14ac:dyDescent="0.15"/>
    <row r="2362" hidden="1" x14ac:dyDescent="0.15"/>
    <row r="2363" hidden="1" x14ac:dyDescent="0.15"/>
    <row r="2364" hidden="1" x14ac:dyDescent="0.15"/>
    <row r="2365" hidden="1" x14ac:dyDescent="0.15"/>
    <row r="2366" hidden="1" x14ac:dyDescent="0.15"/>
    <row r="2367" hidden="1" x14ac:dyDescent="0.15"/>
    <row r="2368" hidden="1" x14ac:dyDescent="0.15"/>
    <row r="2369" hidden="1" x14ac:dyDescent="0.15"/>
    <row r="2370" hidden="1" x14ac:dyDescent="0.15"/>
    <row r="2371" hidden="1" x14ac:dyDescent="0.15"/>
    <row r="2372" hidden="1" x14ac:dyDescent="0.15"/>
    <row r="2373" hidden="1" x14ac:dyDescent="0.15"/>
    <row r="2374" hidden="1" x14ac:dyDescent="0.15"/>
    <row r="2375" hidden="1" x14ac:dyDescent="0.15"/>
    <row r="2376" hidden="1" x14ac:dyDescent="0.15"/>
    <row r="2377" hidden="1" x14ac:dyDescent="0.15"/>
    <row r="2378" hidden="1" x14ac:dyDescent="0.15"/>
    <row r="2379" hidden="1" x14ac:dyDescent="0.15"/>
    <row r="2380" hidden="1" x14ac:dyDescent="0.15"/>
    <row r="2381" hidden="1" x14ac:dyDescent="0.15"/>
    <row r="2382" hidden="1" x14ac:dyDescent="0.15"/>
    <row r="2383" hidden="1" x14ac:dyDescent="0.15"/>
    <row r="2384" hidden="1" x14ac:dyDescent="0.15"/>
    <row r="2385" hidden="1" x14ac:dyDescent="0.15"/>
    <row r="2386" hidden="1" x14ac:dyDescent="0.15"/>
    <row r="2387" hidden="1" x14ac:dyDescent="0.15"/>
    <row r="2388" hidden="1" x14ac:dyDescent="0.15"/>
    <row r="2389" hidden="1" x14ac:dyDescent="0.15"/>
    <row r="2390" hidden="1" x14ac:dyDescent="0.15"/>
    <row r="2391" hidden="1" x14ac:dyDescent="0.15"/>
    <row r="2392" hidden="1" x14ac:dyDescent="0.15"/>
    <row r="2393" hidden="1" x14ac:dyDescent="0.15"/>
    <row r="2394" hidden="1" x14ac:dyDescent="0.15"/>
    <row r="2395" hidden="1" x14ac:dyDescent="0.15"/>
    <row r="2396" hidden="1" x14ac:dyDescent="0.15"/>
    <row r="2397" hidden="1" x14ac:dyDescent="0.15"/>
    <row r="2398" hidden="1" x14ac:dyDescent="0.15"/>
    <row r="2399" hidden="1" x14ac:dyDescent="0.15"/>
    <row r="2400" hidden="1" x14ac:dyDescent="0.15"/>
    <row r="2401" hidden="1" x14ac:dyDescent="0.15"/>
    <row r="2402" hidden="1" x14ac:dyDescent="0.15"/>
    <row r="2403" hidden="1" x14ac:dyDescent="0.15"/>
    <row r="2404" hidden="1" x14ac:dyDescent="0.15"/>
    <row r="2405" hidden="1" x14ac:dyDescent="0.15"/>
    <row r="2406" hidden="1" x14ac:dyDescent="0.15"/>
    <row r="2407" hidden="1" x14ac:dyDescent="0.15"/>
    <row r="2408" hidden="1" x14ac:dyDescent="0.15"/>
    <row r="2409" hidden="1" x14ac:dyDescent="0.15"/>
    <row r="2410" hidden="1" x14ac:dyDescent="0.15"/>
    <row r="2411" hidden="1" x14ac:dyDescent="0.15"/>
    <row r="2412" hidden="1" x14ac:dyDescent="0.15"/>
    <row r="2413" hidden="1" x14ac:dyDescent="0.15"/>
    <row r="2414" hidden="1" x14ac:dyDescent="0.15"/>
    <row r="2415" hidden="1" x14ac:dyDescent="0.15"/>
    <row r="2416" hidden="1" x14ac:dyDescent="0.15"/>
    <row r="2417" hidden="1" x14ac:dyDescent="0.15"/>
    <row r="2418" hidden="1" x14ac:dyDescent="0.15"/>
    <row r="2419" hidden="1" x14ac:dyDescent="0.15"/>
    <row r="2420" hidden="1" x14ac:dyDescent="0.15"/>
    <row r="2421" hidden="1" x14ac:dyDescent="0.15"/>
    <row r="2422" hidden="1" x14ac:dyDescent="0.15"/>
    <row r="2423" hidden="1" x14ac:dyDescent="0.15"/>
    <row r="2424" hidden="1" x14ac:dyDescent="0.15"/>
    <row r="2425" hidden="1" x14ac:dyDescent="0.15"/>
    <row r="2426" hidden="1" x14ac:dyDescent="0.15"/>
    <row r="2427" hidden="1" x14ac:dyDescent="0.15"/>
    <row r="2428" hidden="1" x14ac:dyDescent="0.15"/>
    <row r="2429" hidden="1" x14ac:dyDescent="0.15"/>
    <row r="2430" hidden="1" x14ac:dyDescent="0.15"/>
    <row r="2431" hidden="1" x14ac:dyDescent="0.15"/>
    <row r="2432" hidden="1" x14ac:dyDescent="0.15"/>
    <row r="2433" hidden="1" x14ac:dyDescent="0.15"/>
    <row r="2434" hidden="1" x14ac:dyDescent="0.15"/>
    <row r="2435" hidden="1" x14ac:dyDescent="0.15"/>
    <row r="2436" hidden="1" x14ac:dyDescent="0.15"/>
    <row r="2437" hidden="1" x14ac:dyDescent="0.15"/>
    <row r="2438" hidden="1" x14ac:dyDescent="0.15"/>
    <row r="2439" hidden="1" x14ac:dyDescent="0.15"/>
    <row r="2440" hidden="1" x14ac:dyDescent="0.15"/>
    <row r="2441" hidden="1" x14ac:dyDescent="0.15"/>
    <row r="2442" hidden="1" x14ac:dyDescent="0.15"/>
    <row r="2443" hidden="1" x14ac:dyDescent="0.15"/>
    <row r="2444" hidden="1" x14ac:dyDescent="0.15"/>
    <row r="2445" hidden="1" x14ac:dyDescent="0.15"/>
    <row r="2446" hidden="1" x14ac:dyDescent="0.15"/>
    <row r="2447" hidden="1" x14ac:dyDescent="0.15"/>
    <row r="2448" hidden="1" x14ac:dyDescent="0.15"/>
    <row r="2449" hidden="1" x14ac:dyDescent="0.15"/>
    <row r="2450" hidden="1" x14ac:dyDescent="0.15"/>
    <row r="2451" hidden="1" x14ac:dyDescent="0.15"/>
    <row r="2452" hidden="1" x14ac:dyDescent="0.15"/>
    <row r="2453" hidden="1" x14ac:dyDescent="0.15"/>
    <row r="2454" hidden="1" x14ac:dyDescent="0.15"/>
    <row r="2455" hidden="1" x14ac:dyDescent="0.15"/>
    <row r="2456" hidden="1" x14ac:dyDescent="0.15"/>
    <row r="2457" hidden="1" x14ac:dyDescent="0.15"/>
    <row r="2458" hidden="1" x14ac:dyDescent="0.15"/>
    <row r="2459" hidden="1" x14ac:dyDescent="0.15"/>
    <row r="2460" hidden="1" x14ac:dyDescent="0.15"/>
    <row r="2461" hidden="1" x14ac:dyDescent="0.15"/>
    <row r="2462" hidden="1" x14ac:dyDescent="0.15"/>
    <row r="2463" hidden="1" x14ac:dyDescent="0.15"/>
    <row r="2464" hidden="1" x14ac:dyDescent="0.15"/>
    <row r="2465" hidden="1" x14ac:dyDescent="0.15"/>
    <row r="2466" hidden="1" x14ac:dyDescent="0.15"/>
    <row r="2467" hidden="1" x14ac:dyDescent="0.15"/>
    <row r="2468" hidden="1" x14ac:dyDescent="0.15"/>
    <row r="2469" hidden="1" x14ac:dyDescent="0.15"/>
    <row r="2470" hidden="1" x14ac:dyDescent="0.15"/>
    <row r="2471" hidden="1" x14ac:dyDescent="0.15"/>
    <row r="2472" hidden="1" x14ac:dyDescent="0.15"/>
    <row r="2473" hidden="1" x14ac:dyDescent="0.15"/>
    <row r="2474" hidden="1" x14ac:dyDescent="0.15"/>
    <row r="2475" hidden="1" x14ac:dyDescent="0.15"/>
    <row r="2476" hidden="1" x14ac:dyDescent="0.15"/>
    <row r="2477" hidden="1" x14ac:dyDescent="0.15"/>
    <row r="2478" hidden="1" x14ac:dyDescent="0.15"/>
    <row r="2479" hidden="1" x14ac:dyDescent="0.15"/>
    <row r="2480" hidden="1" x14ac:dyDescent="0.15"/>
    <row r="2481" hidden="1" x14ac:dyDescent="0.15"/>
    <row r="2482" hidden="1" x14ac:dyDescent="0.15"/>
    <row r="2483" hidden="1" x14ac:dyDescent="0.15"/>
    <row r="2484" hidden="1" x14ac:dyDescent="0.15"/>
    <row r="2485" hidden="1" x14ac:dyDescent="0.15"/>
    <row r="2486" hidden="1" x14ac:dyDescent="0.15"/>
    <row r="2487" hidden="1" x14ac:dyDescent="0.15"/>
    <row r="2488" hidden="1" x14ac:dyDescent="0.15"/>
    <row r="2489" hidden="1" x14ac:dyDescent="0.15"/>
    <row r="2490" hidden="1" x14ac:dyDescent="0.15"/>
    <row r="2491" hidden="1" x14ac:dyDescent="0.15"/>
    <row r="2492" hidden="1" x14ac:dyDescent="0.15"/>
    <row r="2493" hidden="1" x14ac:dyDescent="0.15"/>
    <row r="2494" hidden="1" x14ac:dyDescent="0.15"/>
    <row r="2495" hidden="1" x14ac:dyDescent="0.15"/>
    <row r="2496" hidden="1" x14ac:dyDescent="0.15"/>
    <row r="2497" hidden="1" x14ac:dyDescent="0.15"/>
    <row r="2498" hidden="1" x14ac:dyDescent="0.15"/>
    <row r="2499" hidden="1" x14ac:dyDescent="0.15"/>
    <row r="2500" hidden="1" x14ac:dyDescent="0.15"/>
    <row r="2501" hidden="1" x14ac:dyDescent="0.15"/>
    <row r="2502" hidden="1" x14ac:dyDescent="0.15"/>
    <row r="2503" hidden="1" x14ac:dyDescent="0.15"/>
    <row r="2504" hidden="1" x14ac:dyDescent="0.15"/>
    <row r="2505" hidden="1" x14ac:dyDescent="0.15"/>
    <row r="2506" hidden="1" x14ac:dyDescent="0.15"/>
    <row r="2507" hidden="1" x14ac:dyDescent="0.15"/>
    <row r="2508" hidden="1" x14ac:dyDescent="0.15"/>
    <row r="2509" hidden="1" x14ac:dyDescent="0.15"/>
    <row r="2510" hidden="1" x14ac:dyDescent="0.15"/>
    <row r="2511" hidden="1" x14ac:dyDescent="0.15"/>
    <row r="2512" hidden="1" x14ac:dyDescent="0.15"/>
    <row r="2513" hidden="1" x14ac:dyDescent="0.15"/>
    <row r="2514" hidden="1" x14ac:dyDescent="0.15"/>
    <row r="2515" hidden="1" x14ac:dyDescent="0.15"/>
    <row r="2516" hidden="1" x14ac:dyDescent="0.15"/>
    <row r="2517" hidden="1" x14ac:dyDescent="0.15"/>
    <row r="2518" hidden="1" x14ac:dyDescent="0.15"/>
    <row r="2519" hidden="1" x14ac:dyDescent="0.15"/>
    <row r="2520" hidden="1" x14ac:dyDescent="0.15"/>
    <row r="2521" hidden="1" x14ac:dyDescent="0.15"/>
    <row r="2522" hidden="1" x14ac:dyDescent="0.15"/>
    <row r="2523" hidden="1" x14ac:dyDescent="0.15"/>
    <row r="2524" hidden="1" x14ac:dyDescent="0.15"/>
    <row r="2525" hidden="1" x14ac:dyDescent="0.15"/>
    <row r="2526" hidden="1" x14ac:dyDescent="0.15"/>
    <row r="2527" hidden="1" x14ac:dyDescent="0.15"/>
    <row r="2528" hidden="1" x14ac:dyDescent="0.15"/>
    <row r="2529" hidden="1" x14ac:dyDescent="0.15"/>
    <row r="2530" hidden="1" x14ac:dyDescent="0.15"/>
    <row r="2531" hidden="1" x14ac:dyDescent="0.15"/>
    <row r="2532" hidden="1" x14ac:dyDescent="0.15"/>
    <row r="2533" hidden="1" x14ac:dyDescent="0.15"/>
    <row r="2534" hidden="1" x14ac:dyDescent="0.15"/>
    <row r="2535" hidden="1" x14ac:dyDescent="0.15"/>
    <row r="2536" hidden="1" x14ac:dyDescent="0.15"/>
    <row r="2537" hidden="1" x14ac:dyDescent="0.15"/>
    <row r="2538" hidden="1" x14ac:dyDescent="0.15"/>
    <row r="2539" hidden="1" x14ac:dyDescent="0.15"/>
    <row r="2540" hidden="1" x14ac:dyDescent="0.15"/>
    <row r="2541" hidden="1" x14ac:dyDescent="0.15"/>
    <row r="2542" hidden="1" x14ac:dyDescent="0.15"/>
    <row r="2543" hidden="1" x14ac:dyDescent="0.15"/>
    <row r="2544" hidden="1" x14ac:dyDescent="0.15"/>
    <row r="2545" hidden="1" x14ac:dyDescent="0.15"/>
    <row r="2546" hidden="1" x14ac:dyDescent="0.15"/>
    <row r="2547" hidden="1" x14ac:dyDescent="0.15"/>
    <row r="2548" hidden="1" x14ac:dyDescent="0.15"/>
    <row r="2549" hidden="1" x14ac:dyDescent="0.15"/>
    <row r="2550" hidden="1" x14ac:dyDescent="0.15"/>
    <row r="2551" hidden="1" x14ac:dyDescent="0.15"/>
    <row r="2552" hidden="1" x14ac:dyDescent="0.15"/>
    <row r="2553" hidden="1" x14ac:dyDescent="0.15"/>
    <row r="2554" hidden="1" x14ac:dyDescent="0.15"/>
    <row r="2555" hidden="1" x14ac:dyDescent="0.15"/>
    <row r="2556" hidden="1" x14ac:dyDescent="0.15"/>
    <row r="2557" hidden="1" x14ac:dyDescent="0.15"/>
    <row r="2558" hidden="1" x14ac:dyDescent="0.15"/>
    <row r="2559" hidden="1" x14ac:dyDescent="0.15"/>
    <row r="2560" hidden="1" x14ac:dyDescent="0.15"/>
    <row r="2561" hidden="1" x14ac:dyDescent="0.15"/>
    <row r="2562" hidden="1" x14ac:dyDescent="0.15"/>
    <row r="2563" hidden="1" x14ac:dyDescent="0.15"/>
    <row r="2564" hidden="1" x14ac:dyDescent="0.15"/>
    <row r="2565" hidden="1" x14ac:dyDescent="0.15"/>
    <row r="2566" hidden="1" x14ac:dyDescent="0.15"/>
    <row r="2567" hidden="1" x14ac:dyDescent="0.15"/>
    <row r="2568" hidden="1" x14ac:dyDescent="0.15"/>
    <row r="2569" hidden="1" x14ac:dyDescent="0.15"/>
    <row r="2570" hidden="1" x14ac:dyDescent="0.15"/>
    <row r="2571" hidden="1" x14ac:dyDescent="0.15"/>
    <row r="2572" hidden="1" x14ac:dyDescent="0.15"/>
    <row r="2573" hidden="1" x14ac:dyDescent="0.15"/>
    <row r="2574" hidden="1" x14ac:dyDescent="0.15"/>
    <row r="2575" hidden="1" x14ac:dyDescent="0.15"/>
    <row r="2576" hidden="1" x14ac:dyDescent="0.15"/>
    <row r="2577" hidden="1" x14ac:dyDescent="0.15"/>
    <row r="2578" hidden="1" x14ac:dyDescent="0.15"/>
    <row r="2579" hidden="1" x14ac:dyDescent="0.15"/>
    <row r="2580" hidden="1" x14ac:dyDescent="0.15"/>
    <row r="2581" hidden="1" x14ac:dyDescent="0.15"/>
    <row r="2582" hidden="1" x14ac:dyDescent="0.15"/>
    <row r="2583" hidden="1" x14ac:dyDescent="0.15"/>
    <row r="2584" hidden="1" x14ac:dyDescent="0.15"/>
    <row r="2585" hidden="1" x14ac:dyDescent="0.15"/>
    <row r="2586" hidden="1" x14ac:dyDescent="0.15"/>
    <row r="2587" hidden="1" x14ac:dyDescent="0.15"/>
    <row r="2588" hidden="1" x14ac:dyDescent="0.15"/>
    <row r="2589" hidden="1" x14ac:dyDescent="0.15"/>
    <row r="2590" hidden="1" x14ac:dyDescent="0.15"/>
    <row r="2591" hidden="1" x14ac:dyDescent="0.15"/>
    <row r="2592" hidden="1" x14ac:dyDescent="0.15"/>
    <row r="2593" hidden="1" x14ac:dyDescent="0.15"/>
    <row r="2594" hidden="1" x14ac:dyDescent="0.15"/>
    <row r="2595" hidden="1" x14ac:dyDescent="0.15"/>
    <row r="2596" hidden="1" x14ac:dyDescent="0.15"/>
    <row r="2597" hidden="1" x14ac:dyDescent="0.15"/>
    <row r="2598" hidden="1" x14ac:dyDescent="0.15"/>
    <row r="2599" hidden="1" x14ac:dyDescent="0.15"/>
    <row r="2600" hidden="1" x14ac:dyDescent="0.15"/>
    <row r="2601" hidden="1" x14ac:dyDescent="0.15"/>
    <row r="2602" hidden="1" x14ac:dyDescent="0.15"/>
    <row r="2603" hidden="1" x14ac:dyDescent="0.15"/>
    <row r="2604" hidden="1" x14ac:dyDescent="0.15"/>
    <row r="2605" hidden="1" x14ac:dyDescent="0.15"/>
    <row r="2606" hidden="1" x14ac:dyDescent="0.15"/>
    <row r="2607" hidden="1" x14ac:dyDescent="0.15"/>
    <row r="2608" hidden="1" x14ac:dyDescent="0.15"/>
    <row r="2609" hidden="1" x14ac:dyDescent="0.15"/>
    <row r="2610" hidden="1" x14ac:dyDescent="0.15"/>
    <row r="2611" hidden="1" x14ac:dyDescent="0.15"/>
    <row r="2612" hidden="1" x14ac:dyDescent="0.15"/>
    <row r="2613" hidden="1" x14ac:dyDescent="0.15"/>
    <row r="2614" hidden="1" x14ac:dyDescent="0.15"/>
    <row r="2615" hidden="1" x14ac:dyDescent="0.15"/>
    <row r="2616" hidden="1" x14ac:dyDescent="0.15"/>
    <row r="2617" hidden="1" x14ac:dyDescent="0.15"/>
    <row r="2618" hidden="1" x14ac:dyDescent="0.15"/>
    <row r="2619" hidden="1" x14ac:dyDescent="0.15"/>
    <row r="2620" hidden="1" x14ac:dyDescent="0.15"/>
    <row r="2621" hidden="1" x14ac:dyDescent="0.15"/>
    <row r="2622" hidden="1" x14ac:dyDescent="0.15"/>
    <row r="2623" hidden="1" x14ac:dyDescent="0.15"/>
    <row r="2624" hidden="1" x14ac:dyDescent="0.15"/>
    <row r="2625" hidden="1" x14ac:dyDescent="0.15"/>
    <row r="2626" hidden="1" x14ac:dyDescent="0.15"/>
    <row r="2627" hidden="1" x14ac:dyDescent="0.15"/>
    <row r="2628" hidden="1" x14ac:dyDescent="0.15"/>
    <row r="2629" hidden="1" x14ac:dyDescent="0.15"/>
    <row r="2630" hidden="1" x14ac:dyDescent="0.15"/>
    <row r="2631" hidden="1" x14ac:dyDescent="0.15"/>
    <row r="2632" hidden="1" x14ac:dyDescent="0.15"/>
    <row r="2633" hidden="1" x14ac:dyDescent="0.15"/>
    <row r="2634" hidden="1" x14ac:dyDescent="0.15"/>
    <row r="2635" hidden="1" x14ac:dyDescent="0.15"/>
    <row r="2636" hidden="1" x14ac:dyDescent="0.15"/>
    <row r="2637" hidden="1" x14ac:dyDescent="0.15"/>
    <row r="2638" hidden="1" x14ac:dyDescent="0.15"/>
    <row r="2639" hidden="1" x14ac:dyDescent="0.15"/>
    <row r="2640" hidden="1" x14ac:dyDescent="0.15"/>
    <row r="2641" hidden="1" x14ac:dyDescent="0.15"/>
    <row r="2642" hidden="1" x14ac:dyDescent="0.15"/>
    <row r="2643" hidden="1" x14ac:dyDescent="0.15"/>
    <row r="2644" hidden="1" x14ac:dyDescent="0.15"/>
    <row r="2645" hidden="1" x14ac:dyDescent="0.15"/>
    <row r="2646" hidden="1" x14ac:dyDescent="0.15"/>
    <row r="2647" hidden="1" x14ac:dyDescent="0.15"/>
    <row r="2648" hidden="1" x14ac:dyDescent="0.15"/>
    <row r="2649" hidden="1" x14ac:dyDescent="0.15"/>
    <row r="2650" hidden="1" x14ac:dyDescent="0.15"/>
    <row r="2651" hidden="1" x14ac:dyDescent="0.15"/>
    <row r="2652" hidden="1" x14ac:dyDescent="0.15"/>
    <row r="2653" hidden="1" x14ac:dyDescent="0.15"/>
    <row r="2654" hidden="1" x14ac:dyDescent="0.15"/>
    <row r="2655" hidden="1" x14ac:dyDescent="0.15"/>
    <row r="2656" hidden="1" x14ac:dyDescent="0.15"/>
    <row r="2657" hidden="1" x14ac:dyDescent="0.15"/>
    <row r="2658" hidden="1" x14ac:dyDescent="0.15"/>
    <row r="2659" hidden="1" x14ac:dyDescent="0.15"/>
    <row r="2660" hidden="1" x14ac:dyDescent="0.15"/>
    <row r="2661" hidden="1" x14ac:dyDescent="0.15"/>
    <row r="2662" hidden="1" x14ac:dyDescent="0.15"/>
    <row r="2663" hidden="1" x14ac:dyDescent="0.15"/>
    <row r="2664" hidden="1" x14ac:dyDescent="0.15"/>
    <row r="2665" hidden="1" x14ac:dyDescent="0.15"/>
    <row r="2666" hidden="1" x14ac:dyDescent="0.15"/>
    <row r="2667" hidden="1" x14ac:dyDescent="0.15"/>
    <row r="2668" hidden="1" x14ac:dyDescent="0.15"/>
    <row r="2669" hidden="1" x14ac:dyDescent="0.15"/>
    <row r="2670" hidden="1" x14ac:dyDescent="0.15"/>
    <row r="2671" hidden="1" x14ac:dyDescent="0.15"/>
    <row r="2672" hidden="1" x14ac:dyDescent="0.15"/>
    <row r="2673" hidden="1" x14ac:dyDescent="0.15"/>
    <row r="2674" hidden="1" x14ac:dyDescent="0.15"/>
    <row r="2675" hidden="1" x14ac:dyDescent="0.15"/>
    <row r="2676" hidden="1" x14ac:dyDescent="0.15"/>
    <row r="2677" hidden="1" x14ac:dyDescent="0.15"/>
    <row r="2678" hidden="1" x14ac:dyDescent="0.15"/>
    <row r="2679" hidden="1" x14ac:dyDescent="0.15"/>
    <row r="2680" hidden="1" x14ac:dyDescent="0.15"/>
    <row r="2681" hidden="1" x14ac:dyDescent="0.15"/>
    <row r="2682" hidden="1" x14ac:dyDescent="0.15"/>
    <row r="2683" hidden="1" x14ac:dyDescent="0.15"/>
    <row r="2684" hidden="1" x14ac:dyDescent="0.15"/>
    <row r="2685" hidden="1" x14ac:dyDescent="0.15"/>
    <row r="2686" hidden="1" x14ac:dyDescent="0.15"/>
    <row r="2687" hidden="1" x14ac:dyDescent="0.15"/>
    <row r="2688" hidden="1" x14ac:dyDescent="0.15"/>
    <row r="2689" hidden="1" x14ac:dyDescent="0.15"/>
    <row r="2690" hidden="1" x14ac:dyDescent="0.15"/>
    <row r="2691" hidden="1" x14ac:dyDescent="0.15"/>
    <row r="2692" hidden="1" x14ac:dyDescent="0.15"/>
    <row r="2693" hidden="1" x14ac:dyDescent="0.15"/>
    <row r="2694" hidden="1" x14ac:dyDescent="0.15"/>
    <row r="2695" hidden="1" x14ac:dyDescent="0.15"/>
    <row r="2696" hidden="1" x14ac:dyDescent="0.15"/>
    <row r="2697" hidden="1" x14ac:dyDescent="0.15"/>
    <row r="2698" hidden="1" x14ac:dyDescent="0.15"/>
    <row r="2699" hidden="1" x14ac:dyDescent="0.15"/>
    <row r="2700" hidden="1" x14ac:dyDescent="0.15"/>
    <row r="2701" hidden="1" x14ac:dyDescent="0.15"/>
    <row r="2702" hidden="1" x14ac:dyDescent="0.15"/>
    <row r="2703" hidden="1" x14ac:dyDescent="0.15"/>
    <row r="2704" hidden="1" x14ac:dyDescent="0.15"/>
    <row r="2705" hidden="1" x14ac:dyDescent="0.15"/>
    <row r="2706" hidden="1" x14ac:dyDescent="0.15"/>
    <row r="2707" hidden="1" x14ac:dyDescent="0.15"/>
    <row r="2708" hidden="1" x14ac:dyDescent="0.15"/>
    <row r="2709" hidden="1" x14ac:dyDescent="0.15"/>
    <row r="2710" hidden="1" x14ac:dyDescent="0.15"/>
    <row r="2711" hidden="1" x14ac:dyDescent="0.15"/>
    <row r="2712" hidden="1" x14ac:dyDescent="0.15"/>
    <row r="2713" hidden="1" x14ac:dyDescent="0.15"/>
    <row r="2714" hidden="1" x14ac:dyDescent="0.15"/>
    <row r="2715" hidden="1" x14ac:dyDescent="0.15"/>
    <row r="2716" hidden="1" x14ac:dyDescent="0.15"/>
    <row r="2717" hidden="1" x14ac:dyDescent="0.15"/>
    <row r="2718" hidden="1" x14ac:dyDescent="0.15"/>
    <row r="2719" hidden="1" x14ac:dyDescent="0.15"/>
    <row r="2720" hidden="1" x14ac:dyDescent="0.15"/>
    <row r="2721" hidden="1" x14ac:dyDescent="0.15"/>
    <row r="2722" hidden="1" x14ac:dyDescent="0.15"/>
    <row r="2723" hidden="1" x14ac:dyDescent="0.15"/>
    <row r="2724" hidden="1" x14ac:dyDescent="0.15"/>
    <row r="2725" hidden="1" x14ac:dyDescent="0.15"/>
    <row r="2726" hidden="1" x14ac:dyDescent="0.15"/>
    <row r="2727" hidden="1" x14ac:dyDescent="0.15"/>
    <row r="2728" hidden="1" x14ac:dyDescent="0.15"/>
    <row r="2729" hidden="1" x14ac:dyDescent="0.15"/>
    <row r="2730" hidden="1" x14ac:dyDescent="0.15"/>
    <row r="2731" hidden="1" x14ac:dyDescent="0.15"/>
    <row r="2732" hidden="1" x14ac:dyDescent="0.15"/>
    <row r="2733" hidden="1" x14ac:dyDescent="0.15"/>
    <row r="2734" hidden="1" x14ac:dyDescent="0.15"/>
    <row r="2735" hidden="1" x14ac:dyDescent="0.15"/>
    <row r="2736" hidden="1" x14ac:dyDescent="0.15"/>
    <row r="2737" hidden="1" x14ac:dyDescent="0.15"/>
    <row r="2738" hidden="1" x14ac:dyDescent="0.15"/>
    <row r="2739" hidden="1" x14ac:dyDescent="0.15"/>
    <row r="2740" hidden="1" x14ac:dyDescent="0.15"/>
    <row r="2741" hidden="1" x14ac:dyDescent="0.15"/>
    <row r="2742" hidden="1" x14ac:dyDescent="0.15"/>
    <row r="2743" hidden="1" x14ac:dyDescent="0.15"/>
    <row r="2744" hidden="1" x14ac:dyDescent="0.15"/>
    <row r="2745" hidden="1" x14ac:dyDescent="0.15"/>
    <row r="2746" hidden="1" x14ac:dyDescent="0.15"/>
    <row r="2747" hidden="1" x14ac:dyDescent="0.15"/>
    <row r="2748" hidden="1" x14ac:dyDescent="0.15"/>
    <row r="2749" hidden="1" x14ac:dyDescent="0.15"/>
    <row r="2750" hidden="1" x14ac:dyDescent="0.15"/>
    <row r="2751" hidden="1" x14ac:dyDescent="0.15"/>
    <row r="2752" hidden="1" x14ac:dyDescent="0.15"/>
    <row r="2753" hidden="1" x14ac:dyDescent="0.15"/>
    <row r="2754" hidden="1" x14ac:dyDescent="0.15"/>
    <row r="2755" hidden="1" x14ac:dyDescent="0.15"/>
    <row r="2756" hidden="1" x14ac:dyDescent="0.15"/>
    <row r="2757" hidden="1" x14ac:dyDescent="0.15"/>
    <row r="2758" hidden="1" x14ac:dyDescent="0.15"/>
    <row r="2759" hidden="1" x14ac:dyDescent="0.15"/>
    <row r="2760" hidden="1" x14ac:dyDescent="0.15"/>
    <row r="2761" hidden="1" x14ac:dyDescent="0.15"/>
    <row r="2762" hidden="1" x14ac:dyDescent="0.15"/>
    <row r="2763" hidden="1" x14ac:dyDescent="0.15"/>
    <row r="2764" hidden="1" x14ac:dyDescent="0.15"/>
    <row r="2765" hidden="1" x14ac:dyDescent="0.15"/>
    <row r="2766" hidden="1" x14ac:dyDescent="0.15"/>
    <row r="2767" hidden="1" x14ac:dyDescent="0.15"/>
    <row r="2768" hidden="1" x14ac:dyDescent="0.15"/>
    <row r="2769" hidden="1" x14ac:dyDescent="0.15"/>
    <row r="2770" hidden="1" x14ac:dyDescent="0.15"/>
    <row r="2771" hidden="1" x14ac:dyDescent="0.15"/>
    <row r="2772" hidden="1" x14ac:dyDescent="0.15"/>
    <row r="2773" hidden="1" x14ac:dyDescent="0.15"/>
    <row r="2774" hidden="1" x14ac:dyDescent="0.15"/>
    <row r="2775" hidden="1" x14ac:dyDescent="0.15"/>
    <row r="2776" hidden="1" x14ac:dyDescent="0.15"/>
    <row r="2777" hidden="1" x14ac:dyDescent="0.15"/>
    <row r="2778" hidden="1" x14ac:dyDescent="0.15"/>
    <row r="2779" hidden="1" x14ac:dyDescent="0.15"/>
    <row r="2780" hidden="1" x14ac:dyDescent="0.15"/>
    <row r="2781" hidden="1" x14ac:dyDescent="0.15"/>
    <row r="2782" hidden="1" x14ac:dyDescent="0.15"/>
    <row r="2783" hidden="1" x14ac:dyDescent="0.15"/>
    <row r="2784" hidden="1" x14ac:dyDescent="0.15"/>
    <row r="2785" hidden="1" x14ac:dyDescent="0.15"/>
    <row r="2786" hidden="1" x14ac:dyDescent="0.15"/>
    <row r="2787" hidden="1" x14ac:dyDescent="0.15"/>
    <row r="2788" hidden="1" x14ac:dyDescent="0.15"/>
    <row r="2789" hidden="1" x14ac:dyDescent="0.15"/>
    <row r="2790" hidden="1" x14ac:dyDescent="0.15"/>
    <row r="2791" hidden="1" x14ac:dyDescent="0.15"/>
    <row r="2792" hidden="1" x14ac:dyDescent="0.15"/>
    <row r="2793" hidden="1" x14ac:dyDescent="0.15"/>
    <row r="2794" hidden="1" x14ac:dyDescent="0.15"/>
    <row r="2795" hidden="1" x14ac:dyDescent="0.15"/>
    <row r="2796" hidden="1" x14ac:dyDescent="0.15"/>
    <row r="2797" hidden="1" x14ac:dyDescent="0.15"/>
    <row r="2798" hidden="1" x14ac:dyDescent="0.15"/>
    <row r="2799" hidden="1" x14ac:dyDescent="0.15"/>
    <row r="2800" hidden="1" x14ac:dyDescent="0.15"/>
    <row r="2801" hidden="1" x14ac:dyDescent="0.15"/>
    <row r="2802" hidden="1" x14ac:dyDescent="0.15"/>
    <row r="2803" hidden="1" x14ac:dyDescent="0.15"/>
    <row r="2804" hidden="1" x14ac:dyDescent="0.15"/>
    <row r="2805" hidden="1" x14ac:dyDescent="0.15"/>
    <row r="2806" hidden="1" x14ac:dyDescent="0.15"/>
    <row r="2807" hidden="1" x14ac:dyDescent="0.15"/>
    <row r="2808" hidden="1" x14ac:dyDescent="0.15"/>
    <row r="2809" hidden="1" x14ac:dyDescent="0.15"/>
    <row r="2810" hidden="1" x14ac:dyDescent="0.15"/>
    <row r="2811" hidden="1" x14ac:dyDescent="0.15"/>
    <row r="2812" hidden="1" x14ac:dyDescent="0.15"/>
    <row r="2813" hidden="1" x14ac:dyDescent="0.15"/>
    <row r="2814" hidden="1" x14ac:dyDescent="0.15"/>
    <row r="2815" hidden="1" x14ac:dyDescent="0.15"/>
    <row r="2816" hidden="1" x14ac:dyDescent="0.15"/>
    <row r="2817" hidden="1" x14ac:dyDescent="0.15"/>
    <row r="2818" hidden="1" x14ac:dyDescent="0.15"/>
    <row r="2819" hidden="1" x14ac:dyDescent="0.15"/>
    <row r="2820" hidden="1" x14ac:dyDescent="0.15"/>
    <row r="2821" hidden="1" x14ac:dyDescent="0.15"/>
    <row r="2822" hidden="1" x14ac:dyDescent="0.15"/>
    <row r="2823" hidden="1" x14ac:dyDescent="0.15"/>
    <row r="2824" hidden="1" x14ac:dyDescent="0.15"/>
    <row r="2825" hidden="1" x14ac:dyDescent="0.15"/>
    <row r="2826" hidden="1" x14ac:dyDescent="0.15"/>
    <row r="2827" hidden="1" x14ac:dyDescent="0.15"/>
    <row r="2828" hidden="1" x14ac:dyDescent="0.15"/>
    <row r="2829" hidden="1" x14ac:dyDescent="0.15"/>
    <row r="2830" hidden="1" x14ac:dyDescent="0.15"/>
    <row r="2831" hidden="1" x14ac:dyDescent="0.15"/>
    <row r="2832" hidden="1" x14ac:dyDescent="0.15"/>
    <row r="2833" hidden="1" x14ac:dyDescent="0.15"/>
    <row r="2834" hidden="1" x14ac:dyDescent="0.15"/>
    <row r="2835" hidden="1" x14ac:dyDescent="0.15"/>
    <row r="2836" hidden="1" x14ac:dyDescent="0.15"/>
    <row r="2837" hidden="1" x14ac:dyDescent="0.15"/>
    <row r="2838" hidden="1" x14ac:dyDescent="0.15"/>
    <row r="2839" hidden="1" x14ac:dyDescent="0.15"/>
    <row r="2840" hidden="1" x14ac:dyDescent="0.15"/>
    <row r="2841" hidden="1" x14ac:dyDescent="0.15"/>
    <row r="2842" hidden="1" x14ac:dyDescent="0.15"/>
    <row r="2843" hidden="1" x14ac:dyDescent="0.15"/>
    <row r="2844" hidden="1" x14ac:dyDescent="0.15"/>
    <row r="2845" hidden="1" x14ac:dyDescent="0.15"/>
    <row r="2846" hidden="1" x14ac:dyDescent="0.15"/>
    <row r="2847" hidden="1" x14ac:dyDescent="0.15"/>
    <row r="2848" hidden="1" x14ac:dyDescent="0.15"/>
    <row r="2849" hidden="1" x14ac:dyDescent="0.15"/>
    <row r="2850" hidden="1" x14ac:dyDescent="0.15"/>
    <row r="2851" hidden="1" x14ac:dyDescent="0.15"/>
    <row r="2852" hidden="1" x14ac:dyDescent="0.15"/>
    <row r="2853" hidden="1" x14ac:dyDescent="0.15"/>
    <row r="2854" hidden="1" x14ac:dyDescent="0.15"/>
    <row r="2855" hidden="1" x14ac:dyDescent="0.15"/>
    <row r="2856" hidden="1" x14ac:dyDescent="0.15"/>
    <row r="2857" hidden="1" x14ac:dyDescent="0.15"/>
    <row r="2858" hidden="1" x14ac:dyDescent="0.15"/>
    <row r="2859" hidden="1" x14ac:dyDescent="0.15"/>
    <row r="2860" hidden="1" x14ac:dyDescent="0.15"/>
    <row r="2861" hidden="1" x14ac:dyDescent="0.15"/>
    <row r="2862" hidden="1" x14ac:dyDescent="0.15"/>
    <row r="2863" hidden="1" x14ac:dyDescent="0.15"/>
    <row r="2864" hidden="1" x14ac:dyDescent="0.15"/>
    <row r="2865" hidden="1" x14ac:dyDescent="0.15"/>
    <row r="2866" hidden="1" x14ac:dyDescent="0.15"/>
    <row r="2867" hidden="1" x14ac:dyDescent="0.15"/>
    <row r="2868" hidden="1" x14ac:dyDescent="0.15"/>
    <row r="2869" hidden="1" x14ac:dyDescent="0.15"/>
    <row r="2870" hidden="1" x14ac:dyDescent="0.15"/>
    <row r="2871" hidden="1" x14ac:dyDescent="0.15"/>
    <row r="2872" hidden="1" x14ac:dyDescent="0.15"/>
    <row r="2873" hidden="1" x14ac:dyDescent="0.15"/>
    <row r="2874" hidden="1" x14ac:dyDescent="0.15"/>
    <row r="2875" hidden="1" x14ac:dyDescent="0.15"/>
    <row r="2876" hidden="1" x14ac:dyDescent="0.15"/>
    <row r="2877" hidden="1" x14ac:dyDescent="0.15"/>
    <row r="2878" hidden="1" x14ac:dyDescent="0.15"/>
    <row r="2879" hidden="1" x14ac:dyDescent="0.15"/>
    <row r="2880" hidden="1" x14ac:dyDescent="0.15"/>
    <row r="2881" hidden="1" x14ac:dyDescent="0.15"/>
    <row r="2882" hidden="1" x14ac:dyDescent="0.15"/>
    <row r="2883" hidden="1" x14ac:dyDescent="0.15"/>
    <row r="2884" hidden="1" x14ac:dyDescent="0.15"/>
    <row r="2885" hidden="1" x14ac:dyDescent="0.15"/>
    <row r="2886" hidden="1" x14ac:dyDescent="0.15"/>
    <row r="2887" hidden="1" x14ac:dyDescent="0.15"/>
    <row r="2888" hidden="1" x14ac:dyDescent="0.15"/>
    <row r="2889" hidden="1" x14ac:dyDescent="0.15"/>
    <row r="2890" hidden="1" x14ac:dyDescent="0.15"/>
    <row r="2891" hidden="1" x14ac:dyDescent="0.15"/>
    <row r="2892" hidden="1" x14ac:dyDescent="0.15"/>
    <row r="2893" hidden="1" x14ac:dyDescent="0.15"/>
    <row r="2894" hidden="1" x14ac:dyDescent="0.15"/>
    <row r="2895" hidden="1" x14ac:dyDescent="0.15"/>
    <row r="2896" hidden="1" x14ac:dyDescent="0.15"/>
    <row r="2897" hidden="1" x14ac:dyDescent="0.15"/>
    <row r="2898" hidden="1" x14ac:dyDescent="0.15"/>
    <row r="2899" hidden="1" x14ac:dyDescent="0.15"/>
    <row r="2900" hidden="1" x14ac:dyDescent="0.15"/>
    <row r="2901" hidden="1" x14ac:dyDescent="0.15"/>
    <row r="2902" hidden="1" x14ac:dyDescent="0.15"/>
    <row r="2903" hidden="1" x14ac:dyDescent="0.15"/>
    <row r="2904" hidden="1" x14ac:dyDescent="0.15"/>
    <row r="2905" hidden="1" x14ac:dyDescent="0.15"/>
    <row r="2906" hidden="1" x14ac:dyDescent="0.15"/>
    <row r="2907" hidden="1" x14ac:dyDescent="0.15"/>
    <row r="2908" hidden="1" x14ac:dyDescent="0.15"/>
    <row r="2909" hidden="1" x14ac:dyDescent="0.15"/>
    <row r="2910" hidden="1" x14ac:dyDescent="0.15"/>
    <row r="2911" hidden="1" x14ac:dyDescent="0.15"/>
    <row r="2912" hidden="1" x14ac:dyDescent="0.15"/>
    <row r="2913" hidden="1" x14ac:dyDescent="0.15"/>
    <row r="2914" hidden="1" x14ac:dyDescent="0.15"/>
    <row r="2915" hidden="1" x14ac:dyDescent="0.15"/>
    <row r="2916" hidden="1" x14ac:dyDescent="0.15"/>
    <row r="2917" hidden="1" x14ac:dyDescent="0.15"/>
    <row r="2918" hidden="1" x14ac:dyDescent="0.15"/>
    <row r="2919" hidden="1" x14ac:dyDescent="0.15"/>
    <row r="2920" hidden="1" x14ac:dyDescent="0.15"/>
    <row r="2921" hidden="1" x14ac:dyDescent="0.15"/>
    <row r="2922" hidden="1" x14ac:dyDescent="0.15"/>
    <row r="2923" hidden="1" x14ac:dyDescent="0.15"/>
    <row r="2924" hidden="1" x14ac:dyDescent="0.15"/>
    <row r="2925" hidden="1" x14ac:dyDescent="0.15"/>
    <row r="2926" hidden="1" x14ac:dyDescent="0.15"/>
    <row r="2927" hidden="1" x14ac:dyDescent="0.15"/>
    <row r="2928" hidden="1" x14ac:dyDescent="0.15"/>
    <row r="2929" hidden="1" x14ac:dyDescent="0.15"/>
    <row r="2930" hidden="1" x14ac:dyDescent="0.15"/>
    <row r="2931" hidden="1" x14ac:dyDescent="0.15"/>
    <row r="2932" hidden="1" x14ac:dyDescent="0.15"/>
    <row r="2933" hidden="1" x14ac:dyDescent="0.15"/>
    <row r="2934" hidden="1" x14ac:dyDescent="0.15"/>
    <row r="2935" hidden="1" x14ac:dyDescent="0.15"/>
    <row r="2936" hidden="1" x14ac:dyDescent="0.15"/>
    <row r="2937" hidden="1" x14ac:dyDescent="0.15"/>
    <row r="2938" hidden="1" x14ac:dyDescent="0.15"/>
    <row r="2939" hidden="1" x14ac:dyDescent="0.15"/>
    <row r="2940" hidden="1" x14ac:dyDescent="0.15"/>
    <row r="2941" hidden="1" x14ac:dyDescent="0.15"/>
    <row r="2942" hidden="1" x14ac:dyDescent="0.15"/>
    <row r="2943" hidden="1" x14ac:dyDescent="0.15"/>
    <row r="2944" hidden="1" x14ac:dyDescent="0.15"/>
    <row r="2945" hidden="1" x14ac:dyDescent="0.15"/>
    <row r="2946" hidden="1" x14ac:dyDescent="0.15"/>
    <row r="2947" hidden="1" x14ac:dyDescent="0.15"/>
    <row r="2948" hidden="1" x14ac:dyDescent="0.15"/>
    <row r="2949" hidden="1" x14ac:dyDescent="0.15"/>
    <row r="2950" hidden="1" x14ac:dyDescent="0.15"/>
    <row r="2951" hidden="1" x14ac:dyDescent="0.15"/>
    <row r="2952" hidden="1" x14ac:dyDescent="0.15"/>
    <row r="2953" hidden="1" x14ac:dyDescent="0.15"/>
    <row r="2954" hidden="1" x14ac:dyDescent="0.15"/>
    <row r="2955" hidden="1" x14ac:dyDescent="0.15"/>
    <row r="2956" hidden="1" x14ac:dyDescent="0.15"/>
    <row r="2957" hidden="1" x14ac:dyDescent="0.15"/>
    <row r="2958" hidden="1" x14ac:dyDescent="0.15"/>
    <row r="2959" hidden="1" x14ac:dyDescent="0.15"/>
    <row r="2960" hidden="1" x14ac:dyDescent="0.15"/>
    <row r="2961" hidden="1" x14ac:dyDescent="0.15"/>
    <row r="2962" hidden="1" x14ac:dyDescent="0.15"/>
    <row r="2963" hidden="1" x14ac:dyDescent="0.15"/>
    <row r="2964" hidden="1" x14ac:dyDescent="0.15"/>
    <row r="2965" hidden="1" x14ac:dyDescent="0.15"/>
    <row r="2966" hidden="1" x14ac:dyDescent="0.15"/>
    <row r="2967" hidden="1" x14ac:dyDescent="0.15"/>
    <row r="2968" hidden="1" x14ac:dyDescent="0.15"/>
    <row r="2969" hidden="1" x14ac:dyDescent="0.15"/>
    <row r="2970" hidden="1" x14ac:dyDescent="0.15"/>
    <row r="2971" hidden="1" x14ac:dyDescent="0.15"/>
    <row r="2972" hidden="1" x14ac:dyDescent="0.15"/>
    <row r="2973" hidden="1" x14ac:dyDescent="0.15"/>
    <row r="2974" hidden="1" x14ac:dyDescent="0.15"/>
    <row r="2975" hidden="1" x14ac:dyDescent="0.15"/>
    <row r="2976" hidden="1" x14ac:dyDescent="0.15"/>
    <row r="2977" hidden="1" x14ac:dyDescent="0.15"/>
    <row r="2978" hidden="1" x14ac:dyDescent="0.15"/>
    <row r="2979" hidden="1" x14ac:dyDescent="0.15"/>
    <row r="2980" hidden="1" x14ac:dyDescent="0.15"/>
    <row r="2981" hidden="1" x14ac:dyDescent="0.15"/>
    <row r="2982" hidden="1" x14ac:dyDescent="0.15"/>
    <row r="2983" hidden="1" x14ac:dyDescent="0.15"/>
    <row r="2984" hidden="1" x14ac:dyDescent="0.15"/>
    <row r="2985" hidden="1" x14ac:dyDescent="0.15"/>
    <row r="2986" hidden="1" x14ac:dyDescent="0.15"/>
    <row r="2987" hidden="1" x14ac:dyDescent="0.15"/>
    <row r="2988" hidden="1" x14ac:dyDescent="0.15"/>
    <row r="2989" hidden="1" x14ac:dyDescent="0.15"/>
    <row r="2990" hidden="1" x14ac:dyDescent="0.15"/>
    <row r="2991" hidden="1" x14ac:dyDescent="0.15"/>
    <row r="2992" hidden="1" x14ac:dyDescent="0.15"/>
    <row r="2993" hidden="1" x14ac:dyDescent="0.15"/>
    <row r="2994" hidden="1" x14ac:dyDescent="0.15"/>
    <row r="2995" hidden="1" x14ac:dyDescent="0.15"/>
    <row r="2996" hidden="1" x14ac:dyDescent="0.15"/>
    <row r="2997" hidden="1" x14ac:dyDescent="0.15"/>
    <row r="2998" hidden="1" x14ac:dyDescent="0.15"/>
    <row r="2999" hidden="1" x14ac:dyDescent="0.15"/>
    <row r="3000" hidden="1" x14ac:dyDescent="0.15"/>
    <row r="3001" hidden="1" x14ac:dyDescent="0.15"/>
    <row r="3002" hidden="1" x14ac:dyDescent="0.15"/>
    <row r="3003" hidden="1" x14ac:dyDescent="0.15"/>
    <row r="3004" hidden="1" x14ac:dyDescent="0.15"/>
    <row r="3005" hidden="1" x14ac:dyDescent="0.15"/>
    <row r="3006" hidden="1" x14ac:dyDescent="0.15"/>
    <row r="3007" hidden="1" x14ac:dyDescent="0.15"/>
    <row r="3008" hidden="1" x14ac:dyDescent="0.15"/>
    <row r="3009" hidden="1" x14ac:dyDescent="0.15"/>
    <row r="3010" hidden="1" x14ac:dyDescent="0.15"/>
    <row r="3011" hidden="1" x14ac:dyDescent="0.15"/>
    <row r="3012" hidden="1" x14ac:dyDescent="0.15"/>
    <row r="3013" hidden="1" x14ac:dyDescent="0.15"/>
    <row r="3014" hidden="1" x14ac:dyDescent="0.15"/>
    <row r="3015" hidden="1" x14ac:dyDescent="0.15"/>
    <row r="3016" hidden="1" x14ac:dyDescent="0.15"/>
    <row r="3017" hidden="1" x14ac:dyDescent="0.15"/>
    <row r="3018" hidden="1" x14ac:dyDescent="0.15"/>
    <row r="3019" hidden="1" x14ac:dyDescent="0.15"/>
    <row r="3020" hidden="1" x14ac:dyDescent="0.15"/>
    <row r="3021" hidden="1" x14ac:dyDescent="0.15"/>
    <row r="3022" hidden="1" x14ac:dyDescent="0.15"/>
    <row r="3023" hidden="1" x14ac:dyDescent="0.15"/>
    <row r="3024" hidden="1" x14ac:dyDescent="0.15"/>
    <row r="3025" hidden="1" x14ac:dyDescent="0.15"/>
    <row r="3026" hidden="1" x14ac:dyDescent="0.15"/>
    <row r="3027" hidden="1" x14ac:dyDescent="0.15"/>
    <row r="3028" hidden="1" x14ac:dyDescent="0.15"/>
    <row r="3029" hidden="1" x14ac:dyDescent="0.15"/>
    <row r="3030" hidden="1" x14ac:dyDescent="0.15"/>
    <row r="3031" hidden="1" x14ac:dyDescent="0.15"/>
    <row r="3032" hidden="1" x14ac:dyDescent="0.15"/>
    <row r="3033" hidden="1" x14ac:dyDescent="0.15"/>
    <row r="3034" hidden="1" x14ac:dyDescent="0.15"/>
    <row r="3035" hidden="1" x14ac:dyDescent="0.15"/>
    <row r="3036" hidden="1" x14ac:dyDescent="0.15"/>
    <row r="3037" hidden="1" x14ac:dyDescent="0.15"/>
    <row r="3038" hidden="1" x14ac:dyDescent="0.15"/>
    <row r="3039" hidden="1" x14ac:dyDescent="0.15"/>
    <row r="3040" hidden="1" x14ac:dyDescent="0.15"/>
    <row r="3041" hidden="1" x14ac:dyDescent="0.15"/>
    <row r="3042" hidden="1" x14ac:dyDescent="0.15"/>
    <row r="3043" hidden="1" x14ac:dyDescent="0.15"/>
    <row r="3044" hidden="1" x14ac:dyDescent="0.15"/>
    <row r="3045" hidden="1" x14ac:dyDescent="0.15"/>
    <row r="3046" hidden="1" x14ac:dyDescent="0.15"/>
    <row r="3047" hidden="1" x14ac:dyDescent="0.15"/>
    <row r="3048" hidden="1" x14ac:dyDescent="0.15"/>
    <row r="3049" hidden="1" x14ac:dyDescent="0.15"/>
    <row r="3050" hidden="1" x14ac:dyDescent="0.15"/>
    <row r="3051" hidden="1" x14ac:dyDescent="0.15"/>
    <row r="3052" hidden="1" x14ac:dyDescent="0.15"/>
    <row r="3053" hidden="1" x14ac:dyDescent="0.15"/>
    <row r="3054" hidden="1" x14ac:dyDescent="0.15"/>
    <row r="3055" hidden="1" x14ac:dyDescent="0.15"/>
    <row r="3056" hidden="1" x14ac:dyDescent="0.15"/>
    <row r="3057" hidden="1" x14ac:dyDescent="0.15"/>
    <row r="3058" hidden="1" x14ac:dyDescent="0.15"/>
    <row r="3059" hidden="1" x14ac:dyDescent="0.15"/>
    <row r="3060" hidden="1" x14ac:dyDescent="0.15"/>
    <row r="3061" hidden="1" x14ac:dyDescent="0.15"/>
    <row r="3062" hidden="1" x14ac:dyDescent="0.15"/>
    <row r="3063" hidden="1" x14ac:dyDescent="0.15"/>
    <row r="3064" hidden="1" x14ac:dyDescent="0.15"/>
    <row r="3065" hidden="1" x14ac:dyDescent="0.15"/>
    <row r="3066" hidden="1" x14ac:dyDescent="0.15"/>
    <row r="3067" hidden="1" x14ac:dyDescent="0.15"/>
    <row r="3068" hidden="1" x14ac:dyDescent="0.15"/>
    <row r="3069" hidden="1" x14ac:dyDescent="0.15"/>
    <row r="3070" hidden="1" x14ac:dyDescent="0.15"/>
    <row r="3071" hidden="1" x14ac:dyDescent="0.15"/>
    <row r="3072" hidden="1" x14ac:dyDescent="0.15"/>
    <row r="3073" hidden="1" x14ac:dyDescent="0.15"/>
    <row r="3074" hidden="1" x14ac:dyDescent="0.15"/>
    <row r="3075" hidden="1" x14ac:dyDescent="0.15"/>
    <row r="3076" hidden="1" x14ac:dyDescent="0.15"/>
    <row r="3077" hidden="1" x14ac:dyDescent="0.15"/>
    <row r="3078" hidden="1" x14ac:dyDescent="0.15"/>
    <row r="3079" hidden="1" x14ac:dyDescent="0.15"/>
    <row r="3080" hidden="1" x14ac:dyDescent="0.15"/>
    <row r="3081" hidden="1" x14ac:dyDescent="0.15"/>
    <row r="3082" hidden="1" x14ac:dyDescent="0.15"/>
    <row r="3083" hidden="1" x14ac:dyDescent="0.15"/>
    <row r="3084" hidden="1" x14ac:dyDescent="0.15"/>
    <row r="3085" hidden="1" x14ac:dyDescent="0.15"/>
    <row r="3086" hidden="1" x14ac:dyDescent="0.15"/>
    <row r="3087" hidden="1" x14ac:dyDescent="0.15"/>
    <row r="3088" hidden="1" x14ac:dyDescent="0.15"/>
    <row r="3089" hidden="1" x14ac:dyDescent="0.15"/>
    <row r="3090" hidden="1" x14ac:dyDescent="0.15"/>
    <row r="3091" hidden="1" x14ac:dyDescent="0.15"/>
    <row r="3092" hidden="1" x14ac:dyDescent="0.15"/>
    <row r="3093" hidden="1" x14ac:dyDescent="0.15"/>
    <row r="3094" hidden="1" x14ac:dyDescent="0.15"/>
    <row r="3095" hidden="1" x14ac:dyDescent="0.15"/>
    <row r="3096" hidden="1" x14ac:dyDescent="0.15"/>
    <row r="3097" hidden="1" x14ac:dyDescent="0.15"/>
    <row r="3098" hidden="1" x14ac:dyDescent="0.15"/>
    <row r="3099" hidden="1" x14ac:dyDescent="0.15"/>
    <row r="3100" hidden="1" x14ac:dyDescent="0.15"/>
    <row r="3101" hidden="1" x14ac:dyDescent="0.15"/>
    <row r="3102" hidden="1" x14ac:dyDescent="0.15"/>
    <row r="3103" hidden="1" x14ac:dyDescent="0.15"/>
    <row r="3104" hidden="1" x14ac:dyDescent="0.15"/>
    <row r="3105" hidden="1" x14ac:dyDescent="0.15"/>
    <row r="3106" hidden="1" x14ac:dyDescent="0.15"/>
    <row r="3107" hidden="1" x14ac:dyDescent="0.15"/>
    <row r="3108" hidden="1" x14ac:dyDescent="0.15"/>
    <row r="3109" hidden="1" x14ac:dyDescent="0.15"/>
    <row r="3110" hidden="1" x14ac:dyDescent="0.15"/>
    <row r="3111" hidden="1" x14ac:dyDescent="0.15"/>
    <row r="3112" hidden="1" x14ac:dyDescent="0.15"/>
    <row r="3113" hidden="1" x14ac:dyDescent="0.15"/>
    <row r="3114" hidden="1" x14ac:dyDescent="0.15"/>
    <row r="3115" hidden="1" x14ac:dyDescent="0.15"/>
    <row r="3116" hidden="1" x14ac:dyDescent="0.15"/>
    <row r="3117" hidden="1" x14ac:dyDescent="0.15"/>
    <row r="3118" hidden="1" x14ac:dyDescent="0.15"/>
    <row r="3119" hidden="1" x14ac:dyDescent="0.15"/>
    <row r="3120" hidden="1" x14ac:dyDescent="0.15"/>
    <row r="3121" hidden="1" x14ac:dyDescent="0.15"/>
    <row r="3122" hidden="1" x14ac:dyDescent="0.15"/>
    <row r="3123" hidden="1" x14ac:dyDescent="0.15"/>
    <row r="3124" hidden="1" x14ac:dyDescent="0.15"/>
    <row r="3125" hidden="1" x14ac:dyDescent="0.15"/>
    <row r="3126" hidden="1" x14ac:dyDescent="0.15"/>
    <row r="3127" hidden="1" x14ac:dyDescent="0.15"/>
    <row r="3128" hidden="1" x14ac:dyDescent="0.15"/>
    <row r="3129" hidden="1" x14ac:dyDescent="0.15"/>
    <row r="3130" hidden="1" x14ac:dyDescent="0.15"/>
    <row r="3131" hidden="1" x14ac:dyDescent="0.15"/>
    <row r="3132" hidden="1" x14ac:dyDescent="0.15"/>
    <row r="3133" hidden="1" x14ac:dyDescent="0.15"/>
    <row r="3134" hidden="1" x14ac:dyDescent="0.15"/>
    <row r="3135" hidden="1" x14ac:dyDescent="0.15"/>
    <row r="3136" hidden="1" x14ac:dyDescent="0.15"/>
    <row r="3137" hidden="1" x14ac:dyDescent="0.15"/>
    <row r="3138" hidden="1" x14ac:dyDescent="0.15"/>
    <row r="3139" hidden="1" x14ac:dyDescent="0.15"/>
    <row r="3140" hidden="1" x14ac:dyDescent="0.15"/>
    <row r="3141" hidden="1" x14ac:dyDescent="0.15"/>
    <row r="3142" hidden="1" x14ac:dyDescent="0.15"/>
    <row r="3143" hidden="1" x14ac:dyDescent="0.15"/>
    <row r="3144" hidden="1" x14ac:dyDescent="0.15"/>
    <row r="3145" hidden="1" x14ac:dyDescent="0.15"/>
    <row r="3146" hidden="1" x14ac:dyDescent="0.15"/>
    <row r="3147" hidden="1" x14ac:dyDescent="0.15"/>
    <row r="3148" hidden="1" x14ac:dyDescent="0.15"/>
    <row r="3149" hidden="1" x14ac:dyDescent="0.15"/>
    <row r="3150" hidden="1" x14ac:dyDescent="0.15"/>
    <row r="3151" hidden="1" x14ac:dyDescent="0.15"/>
    <row r="3152" hidden="1" x14ac:dyDescent="0.15"/>
    <row r="3153" hidden="1" x14ac:dyDescent="0.15"/>
    <row r="3154" hidden="1" x14ac:dyDescent="0.15"/>
    <row r="3155" hidden="1" x14ac:dyDescent="0.15"/>
    <row r="3156" hidden="1" x14ac:dyDescent="0.15"/>
    <row r="3157" hidden="1" x14ac:dyDescent="0.15"/>
    <row r="3158" hidden="1" x14ac:dyDescent="0.15"/>
    <row r="3159" hidden="1" x14ac:dyDescent="0.15"/>
    <row r="3160" hidden="1" x14ac:dyDescent="0.15"/>
    <row r="3161" hidden="1" x14ac:dyDescent="0.15"/>
    <row r="3162" hidden="1" x14ac:dyDescent="0.15"/>
    <row r="3163" hidden="1" x14ac:dyDescent="0.15"/>
    <row r="3164" hidden="1" x14ac:dyDescent="0.15"/>
    <row r="3165" hidden="1" x14ac:dyDescent="0.15"/>
    <row r="3166" hidden="1" x14ac:dyDescent="0.15"/>
    <row r="3167" hidden="1" x14ac:dyDescent="0.15"/>
    <row r="3168" hidden="1" x14ac:dyDescent="0.15"/>
    <row r="3169" hidden="1" x14ac:dyDescent="0.15"/>
    <row r="3170" hidden="1" x14ac:dyDescent="0.15"/>
    <row r="3171" hidden="1" x14ac:dyDescent="0.15"/>
    <row r="3172" hidden="1" x14ac:dyDescent="0.15"/>
    <row r="3173" hidden="1" x14ac:dyDescent="0.15"/>
    <row r="3174" hidden="1" x14ac:dyDescent="0.15"/>
    <row r="3175" hidden="1" x14ac:dyDescent="0.15"/>
    <row r="3176" hidden="1" x14ac:dyDescent="0.15"/>
    <row r="3177" hidden="1" x14ac:dyDescent="0.15"/>
    <row r="3178" hidden="1" x14ac:dyDescent="0.15"/>
    <row r="3179" hidden="1" x14ac:dyDescent="0.15"/>
    <row r="3180" hidden="1" x14ac:dyDescent="0.15"/>
    <row r="3181" hidden="1" x14ac:dyDescent="0.15"/>
    <row r="3182" hidden="1" x14ac:dyDescent="0.15"/>
    <row r="3183" hidden="1" x14ac:dyDescent="0.15"/>
    <row r="3184" hidden="1" x14ac:dyDescent="0.15"/>
    <row r="3185" hidden="1" x14ac:dyDescent="0.15"/>
    <row r="3186" hidden="1" x14ac:dyDescent="0.15"/>
    <row r="3187" hidden="1" x14ac:dyDescent="0.15"/>
    <row r="3188" hidden="1" x14ac:dyDescent="0.15"/>
    <row r="3189" hidden="1" x14ac:dyDescent="0.15"/>
    <row r="3190" hidden="1" x14ac:dyDescent="0.15"/>
    <row r="3191" hidden="1" x14ac:dyDescent="0.15"/>
    <row r="3192" hidden="1" x14ac:dyDescent="0.15"/>
    <row r="3193" hidden="1" x14ac:dyDescent="0.15"/>
    <row r="3194" hidden="1" x14ac:dyDescent="0.15"/>
    <row r="3195" hidden="1" x14ac:dyDescent="0.15"/>
    <row r="3196" hidden="1" x14ac:dyDescent="0.15"/>
    <row r="3197" hidden="1" x14ac:dyDescent="0.15"/>
    <row r="3198" hidden="1" x14ac:dyDescent="0.15"/>
    <row r="3199" hidden="1" x14ac:dyDescent="0.15"/>
    <row r="3200" hidden="1" x14ac:dyDescent="0.15"/>
    <row r="3201" hidden="1" x14ac:dyDescent="0.15"/>
    <row r="3202" hidden="1" x14ac:dyDescent="0.15"/>
    <row r="3203" hidden="1" x14ac:dyDescent="0.15"/>
    <row r="3204" hidden="1" x14ac:dyDescent="0.15"/>
    <row r="3205" hidden="1" x14ac:dyDescent="0.15"/>
    <row r="3206" hidden="1" x14ac:dyDescent="0.15"/>
    <row r="3207" hidden="1" x14ac:dyDescent="0.15"/>
    <row r="3208" hidden="1" x14ac:dyDescent="0.15"/>
    <row r="3209" hidden="1" x14ac:dyDescent="0.15"/>
    <row r="3210" hidden="1" x14ac:dyDescent="0.15"/>
    <row r="3211" hidden="1" x14ac:dyDescent="0.15"/>
    <row r="3212" hidden="1" x14ac:dyDescent="0.15"/>
    <row r="3213" hidden="1" x14ac:dyDescent="0.15"/>
    <row r="3214" hidden="1" x14ac:dyDescent="0.15"/>
    <row r="3215" hidden="1" x14ac:dyDescent="0.15"/>
    <row r="3216" hidden="1" x14ac:dyDescent="0.15"/>
    <row r="3217" hidden="1" x14ac:dyDescent="0.15"/>
    <row r="3218" hidden="1" x14ac:dyDescent="0.15"/>
    <row r="3219" hidden="1" x14ac:dyDescent="0.15"/>
    <row r="3220" hidden="1" x14ac:dyDescent="0.15"/>
    <row r="3221" hidden="1" x14ac:dyDescent="0.15"/>
    <row r="3222" hidden="1" x14ac:dyDescent="0.15"/>
    <row r="3223" hidden="1" x14ac:dyDescent="0.15"/>
    <row r="3224" hidden="1" x14ac:dyDescent="0.15"/>
    <row r="3225" hidden="1" x14ac:dyDescent="0.15"/>
    <row r="3226" hidden="1" x14ac:dyDescent="0.15"/>
    <row r="3227" hidden="1" x14ac:dyDescent="0.15"/>
    <row r="3228" hidden="1" x14ac:dyDescent="0.15"/>
    <row r="3229" hidden="1" x14ac:dyDescent="0.15"/>
    <row r="3230" hidden="1" x14ac:dyDescent="0.15"/>
    <row r="3231" hidden="1" x14ac:dyDescent="0.15"/>
    <row r="3232" hidden="1" x14ac:dyDescent="0.15"/>
    <row r="3233" hidden="1" x14ac:dyDescent="0.15"/>
    <row r="3234" hidden="1" x14ac:dyDescent="0.15"/>
    <row r="3235" hidden="1" x14ac:dyDescent="0.15"/>
    <row r="3236" hidden="1" x14ac:dyDescent="0.15"/>
    <row r="3237" hidden="1" x14ac:dyDescent="0.15"/>
    <row r="3238" hidden="1" x14ac:dyDescent="0.15"/>
    <row r="3239" hidden="1" x14ac:dyDescent="0.15"/>
    <row r="3240" hidden="1" x14ac:dyDescent="0.15"/>
    <row r="3241" hidden="1" x14ac:dyDescent="0.15"/>
    <row r="3242" hidden="1" x14ac:dyDescent="0.15"/>
    <row r="3243" hidden="1" x14ac:dyDescent="0.15"/>
    <row r="3244" hidden="1" x14ac:dyDescent="0.15"/>
    <row r="3245" hidden="1" x14ac:dyDescent="0.15"/>
    <row r="3246" hidden="1" x14ac:dyDescent="0.15"/>
    <row r="3247" hidden="1" x14ac:dyDescent="0.15"/>
    <row r="3248" hidden="1" x14ac:dyDescent="0.15"/>
    <row r="3249" hidden="1" x14ac:dyDescent="0.15"/>
    <row r="3250" hidden="1" x14ac:dyDescent="0.15"/>
    <row r="3251" hidden="1" x14ac:dyDescent="0.15"/>
    <row r="3252" hidden="1" x14ac:dyDescent="0.15"/>
    <row r="3253" hidden="1" x14ac:dyDescent="0.15"/>
    <row r="3254" hidden="1" x14ac:dyDescent="0.15"/>
    <row r="3255" hidden="1" x14ac:dyDescent="0.15"/>
    <row r="3256" hidden="1" x14ac:dyDescent="0.15"/>
    <row r="3257" hidden="1" x14ac:dyDescent="0.15"/>
    <row r="3258" hidden="1" x14ac:dyDescent="0.15"/>
    <row r="3259" hidden="1" x14ac:dyDescent="0.15"/>
    <row r="3260" hidden="1" x14ac:dyDescent="0.15"/>
    <row r="3261" hidden="1" x14ac:dyDescent="0.15"/>
    <row r="3262" hidden="1" x14ac:dyDescent="0.15"/>
    <row r="3263" hidden="1" x14ac:dyDescent="0.15"/>
    <row r="3264" hidden="1" x14ac:dyDescent="0.15"/>
    <row r="3265" hidden="1" x14ac:dyDescent="0.15"/>
    <row r="3266" hidden="1" x14ac:dyDescent="0.15"/>
    <row r="3267" hidden="1" x14ac:dyDescent="0.15"/>
    <row r="3268" hidden="1" x14ac:dyDescent="0.15"/>
    <row r="3269" hidden="1" x14ac:dyDescent="0.15"/>
    <row r="3270" hidden="1" x14ac:dyDescent="0.15"/>
    <row r="3271" hidden="1" x14ac:dyDescent="0.15"/>
    <row r="3272" hidden="1" x14ac:dyDescent="0.15"/>
    <row r="3273" hidden="1" x14ac:dyDescent="0.15"/>
    <row r="3274" hidden="1" x14ac:dyDescent="0.15"/>
    <row r="3275" hidden="1" x14ac:dyDescent="0.15"/>
    <row r="3276" hidden="1" x14ac:dyDescent="0.15"/>
    <row r="3277" hidden="1" x14ac:dyDescent="0.15"/>
    <row r="3278" hidden="1" x14ac:dyDescent="0.15"/>
    <row r="3279" hidden="1" x14ac:dyDescent="0.15"/>
    <row r="3280" hidden="1" x14ac:dyDescent="0.15"/>
    <row r="3281" hidden="1" x14ac:dyDescent="0.15"/>
    <row r="3282" hidden="1" x14ac:dyDescent="0.15"/>
    <row r="3283" hidden="1" x14ac:dyDescent="0.15"/>
    <row r="3284" hidden="1" x14ac:dyDescent="0.15"/>
    <row r="3285" hidden="1" x14ac:dyDescent="0.15"/>
    <row r="3286" hidden="1" x14ac:dyDescent="0.15"/>
    <row r="3287" hidden="1" x14ac:dyDescent="0.15"/>
    <row r="3288" hidden="1" x14ac:dyDescent="0.15"/>
    <row r="3289" hidden="1" x14ac:dyDescent="0.15"/>
    <row r="3290" hidden="1" x14ac:dyDescent="0.15"/>
    <row r="3291" hidden="1" x14ac:dyDescent="0.15"/>
    <row r="3292" hidden="1" x14ac:dyDescent="0.15"/>
    <row r="3293" hidden="1" x14ac:dyDescent="0.15"/>
    <row r="3294" hidden="1" x14ac:dyDescent="0.15"/>
    <row r="3295" hidden="1" x14ac:dyDescent="0.15"/>
    <row r="3296" hidden="1" x14ac:dyDescent="0.15"/>
    <row r="3297" hidden="1" x14ac:dyDescent="0.15"/>
    <row r="3298" hidden="1" x14ac:dyDescent="0.15"/>
    <row r="3299" hidden="1" x14ac:dyDescent="0.15"/>
    <row r="3300" hidden="1" x14ac:dyDescent="0.15"/>
    <row r="3301" hidden="1" x14ac:dyDescent="0.15"/>
    <row r="3302" hidden="1" x14ac:dyDescent="0.15"/>
    <row r="3303" hidden="1" x14ac:dyDescent="0.15"/>
    <row r="3304" hidden="1" x14ac:dyDescent="0.15"/>
    <row r="3305" hidden="1" x14ac:dyDescent="0.15"/>
    <row r="3306" hidden="1" x14ac:dyDescent="0.15"/>
    <row r="3307" hidden="1" x14ac:dyDescent="0.15"/>
    <row r="3308" hidden="1" x14ac:dyDescent="0.15"/>
    <row r="3309" hidden="1" x14ac:dyDescent="0.15"/>
    <row r="3310" hidden="1" x14ac:dyDescent="0.15"/>
    <row r="3311" hidden="1" x14ac:dyDescent="0.15"/>
    <row r="3312" hidden="1" x14ac:dyDescent="0.15"/>
    <row r="3313" hidden="1" x14ac:dyDescent="0.15"/>
    <row r="3314" hidden="1" x14ac:dyDescent="0.15"/>
    <row r="3315" hidden="1" x14ac:dyDescent="0.15"/>
    <row r="3316" hidden="1" x14ac:dyDescent="0.15"/>
    <row r="3317" hidden="1" x14ac:dyDescent="0.15"/>
    <row r="3318" hidden="1" x14ac:dyDescent="0.15"/>
    <row r="3319" hidden="1" x14ac:dyDescent="0.15"/>
    <row r="3320" hidden="1" x14ac:dyDescent="0.15"/>
    <row r="3321" hidden="1" x14ac:dyDescent="0.15"/>
    <row r="3322" hidden="1" x14ac:dyDescent="0.15"/>
    <row r="3323" hidden="1" x14ac:dyDescent="0.15"/>
    <row r="3324" hidden="1" x14ac:dyDescent="0.15"/>
    <row r="3325" hidden="1" x14ac:dyDescent="0.15"/>
    <row r="3326" hidden="1" x14ac:dyDescent="0.15"/>
    <row r="3327" hidden="1" x14ac:dyDescent="0.15"/>
    <row r="3328" hidden="1" x14ac:dyDescent="0.15"/>
    <row r="3329" hidden="1" x14ac:dyDescent="0.15"/>
    <row r="3330" hidden="1" x14ac:dyDescent="0.15"/>
    <row r="3331" hidden="1" x14ac:dyDescent="0.15"/>
    <row r="3332" hidden="1" x14ac:dyDescent="0.15"/>
    <row r="3333" hidden="1" x14ac:dyDescent="0.15"/>
    <row r="3334" hidden="1" x14ac:dyDescent="0.15"/>
    <row r="3335" hidden="1" x14ac:dyDescent="0.15"/>
    <row r="3336" hidden="1" x14ac:dyDescent="0.15"/>
    <row r="3337" hidden="1" x14ac:dyDescent="0.15"/>
    <row r="3338" hidden="1" x14ac:dyDescent="0.15"/>
    <row r="3339" hidden="1" x14ac:dyDescent="0.15"/>
    <row r="3340" hidden="1" x14ac:dyDescent="0.15"/>
    <row r="3341" hidden="1" x14ac:dyDescent="0.15"/>
    <row r="3342" hidden="1" x14ac:dyDescent="0.15"/>
    <row r="3343" hidden="1" x14ac:dyDescent="0.15"/>
    <row r="3344" hidden="1" x14ac:dyDescent="0.15"/>
    <row r="3345" hidden="1" x14ac:dyDescent="0.15"/>
    <row r="3346" hidden="1" x14ac:dyDescent="0.15"/>
    <row r="3347" hidden="1" x14ac:dyDescent="0.15"/>
    <row r="3348" hidden="1" x14ac:dyDescent="0.15"/>
    <row r="3349" hidden="1" x14ac:dyDescent="0.15"/>
    <row r="3350" hidden="1" x14ac:dyDescent="0.15"/>
    <row r="3351" hidden="1" x14ac:dyDescent="0.15"/>
    <row r="3352" hidden="1" x14ac:dyDescent="0.15"/>
    <row r="3353" hidden="1" x14ac:dyDescent="0.15"/>
    <row r="3354" hidden="1" x14ac:dyDescent="0.15"/>
    <row r="3355" hidden="1" x14ac:dyDescent="0.15"/>
    <row r="3356" hidden="1" x14ac:dyDescent="0.15"/>
    <row r="3357" hidden="1" x14ac:dyDescent="0.15"/>
    <row r="3358" hidden="1" x14ac:dyDescent="0.15"/>
    <row r="3359" hidden="1" x14ac:dyDescent="0.15"/>
    <row r="3360" hidden="1" x14ac:dyDescent="0.15"/>
    <row r="3361" hidden="1" x14ac:dyDescent="0.15"/>
    <row r="3362" hidden="1" x14ac:dyDescent="0.15"/>
    <row r="3363" hidden="1" x14ac:dyDescent="0.15"/>
    <row r="3364" hidden="1" x14ac:dyDescent="0.15"/>
    <row r="3365" hidden="1" x14ac:dyDescent="0.15"/>
    <row r="3366" hidden="1" x14ac:dyDescent="0.15"/>
    <row r="3367" hidden="1" x14ac:dyDescent="0.15"/>
    <row r="3368" hidden="1" x14ac:dyDescent="0.15"/>
    <row r="3369" hidden="1" x14ac:dyDescent="0.15"/>
    <row r="3370" hidden="1" x14ac:dyDescent="0.15"/>
    <row r="3371" hidden="1" x14ac:dyDescent="0.15"/>
    <row r="3372" hidden="1" x14ac:dyDescent="0.15"/>
    <row r="3373" hidden="1" x14ac:dyDescent="0.15"/>
    <row r="3374" hidden="1" x14ac:dyDescent="0.15"/>
    <row r="3375" hidden="1" x14ac:dyDescent="0.15"/>
    <row r="3376" hidden="1" x14ac:dyDescent="0.15"/>
    <row r="3377" hidden="1" x14ac:dyDescent="0.15"/>
    <row r="3378" hidden="1" x14ac:dyDescent="0.15"/>
    <row r="3379" hidden="1" x14ac:dyDescent="0.15"/>
    <row r="3380" hidden="1" x14ac:dyDescent="0.15"/>
    <row r="3381" hidden="1" x14ac:dyDescent="0.15"/>
    <row r="3382" hidden="1" x14ac:dyDescent="0.15"/>
    <row r="3383" hidden="1" x14ac:dyDescent="0.15"/>
    <row r="3384" hidden="1" x14ac:dyDescent="0.15"/>
    <row r="3385" hidden="1" x14ac:dyDescent="0.15"/>
    <row r="3386" hidden="1" x14ac:dyDescent="0.15"/>
    <row r="3387" hidden="1" x14ac:dyDescent="0.15"/>
    <row r="3388" hidden="1" x14ac:dyDescent="0.15"/>
    <row r="3389" hidden="1" x14ac:dyDescent="0.15"/>
    <row r="3390" hidden="1" x14ac:dyDescent="0.15"/>
    <row r="3391" hidden="1" x14ac:dyDescent="0.15"/>
    <row r="3392" hidden="1" x14ac:dyDescent="0.15"/>
    <row r="3393" hidden="1" x14ac:dyDescent="0.15"/>
    <row r="3394" hidden="1" x14ac:dyDescent="0.15"/>
    <row r="3395" hidden="1" x14ac:dyDescent="0.15"/>
    <row r="3396" hidden="1" x14ac:dyDescent="0.15"/>
    <row r="3397" hidden="1" x14ac:dyDescent="0.15"/>
    <row r="3398" hidden="1" x14ac:dyDescent="0.15"/>
    <row r="3399" hidden="1" x14ac:dyDescent="0.15"/>
    <row r="3400" hidden="1" x14ac:dyDescent="0.15"/>
    <row r="3401" hidden="1" x14ac:dyDescent="0.15"/>
    <row r="3402" hidden="1" x14ac:dyDescent="0.15"/>
    <row r="3403" hidden="1" x14ac:dyDescent="0.15"/>
    <row r="3404" hidden="1" x14ac:dyDescent="0.15"/>
    <row r="3405" hidden="1" x14ac:dyDescent="0.15"/>
    <row r="3406" hidden="1" x14ac:dyDescent="0.15"/>
    <row r="3407" hidden="1" x14ac:dyDescent="0.15"/>
    <row r="3408" hidden="1" x14ac:dyDescent="0.15"/>
    <row r="3409" hidden="1" x14ac:dyDescent="0.15"/>
    <row r="3410" hidden="1" x14ac:dyDescent="0.15"/>
    <row r="3411" hidden="1" x14ac:dyDescent="0.15"/>
    <row r="3412" hidden="1" x14ac:dyDescent="0.15"/>
    <row r="3413" hidden="1" x14ac:dyDescent="0.15"/>
    <row r="3414" hidden="1" x14ac:dyDescent="0.15"/>
    <row r="3415" hidden="1" x14ac:dyDescent="0.15"/>
    <row r="3416" hidden="1" x14ac:dyDescent="0.15"/>
    <row r="3417" hidden="1" x14ac:dyDescent="0.15"/>
    <row r="3418" hidden="1" x14ac:dyDescent="0.15"/>
    <row r="3419" hidden="1" x14ac:dyDescent="0.15"/>
    <row r="3420" hidden="1" x14ac:dyDescent="0.15"/>
    <row r="3421" hidden="1" x14ac:dyDescent="0.15"/>
    <row r="3422" hidden="1" x14ac:dyDescent="0.15"/>
    <row r="3423" hidden="1" x14ac:dyDescent="0.15"/>
    <row r="3424" hidden="1" x14ac:dyDescent="0.15"/>
    <row r="3425" hidden="1" x14ac:dyDescent="0.15"/>
    <row r="3426" hidden="1" x14ac:dyDescent="0.15"/>
    <row r="3427" hidden="1" x14ac:dyDescent="0.15"/>
    <row r="3428" hidden="1" x14ac:dyDescent="0.15"/>
    <row r="3429" hidden="1" x14ac:dyDescent="0.15"/>
    <row r="3430" hidden="1" x14ac:dyDescent="0.15"/>
    <row r="3431" hidden="1" x14ac:dyDescent="0.15"/>
    <row r="3432" hidden="1" x14ac:dyDescent="0.15"/>
    <row r="3433" hidden="1" x14ac:dyDescent="0.15"/>
    <row r="3434" hidden="1" x14ac:dyDescent="0.15"/>
    <row r="3435" hidden="1" x14ac:dyDescent="0.15"/>
    <row r="3436" hidden="1" x14ac:dyDescent="0.15"/>
    <row r="3437" hidden="1" x14ac:dyDescent="0.15"/>
    <row r="3438" hidden="1" x14ac:dyDescent="0.15"/>
    <row r="3439" hidden="1" x14ac:dyDescent="0.15"/>
    <row r="3440" hidden="1" x14ac:dyDescent="0.15"/>
    <row r="3441" hidden="1" x14ac:dyDescent="0.15"/>
    <row r="3442" hidden="1" x14ac:dyDescent="0.15"/>
    <row r="3443" hidden="1" x14ac:dyDescent="0.15"/>
    <row r="3444" hidden="1" x14ac:dyDescent="0.15"/>
    <row r="3445" hidden="1" x14ac:dyDescent="0.15"/>
    <row r="3446" hidden="1" x14ac:dyDescent="0.15"/>
    <row r="3447" hidden="1" x14ac:dyDescent="0.15"/>
    <row r="3448" hidden="1" x14ac:dyDescent="0.15"/>
    <row r="3449" hidden="1" x14ac:dyDescent="0.15"/>
    <row r="3450" hidden="1" x14ac:dyDescent="0.15"/>
    <row r="3451" hidden="1" x14ac:dyDescent="0.15"/>
    <row r="3452" hidden="1" x14ac:dyDescent="0.15"/>
    <row r="3453" hidden="1" x14ac:dyDescent="0.15"/>
    <row r="3454" hidden="1" x14ac:dyDescent="0.15"/>
    <row r="3455" hidden="1" x14ac:dyDescent="0.15"/>
    <row r="3456" hidden="1" x14ac:dyDescent="0.15"/>
    <row r="3457" hidden="1" x14ac:dyDescent="0.15"/>
    <row r="3458" hidden="1" x14ac:dyDescent="0.15"/>
    <row r="3459" hidden="1" x14ac:dyDescent="0.15"/>
    <row r="3460" hidden="1" x14ac:dyDescent="0.15"/>
    <row r="3461" hidden="1" x14ac:dyDescent="0.15"/>
    <row r="3462" hidden="1" x14ac:dyDescent="0.15"/>
    <row r="3463" hidden="1" x14ac:dyDescent="0.15"/>
    <row r="3464" hidden="1" x14ac:dyDescent="0.15"/>
    <row r="3465" hidden="1" x14ac:dyDescent="0.15"/>
    <row r="3466" hidden="1" x14ac:dyDescent="0.15"/>
    <row r="3467" hidden="1" x14ac:dyDescent="0.15"/>
    <row r="3468" hidden="1" x14ac:dyDescent="0.15"/>
    <row r="3469" hidden="1" x14ac:dyDescent="0.15"/>
    <row r="3470" hidden="1" x14ac:dyDescent="0.15"/>
    <row r="3471" hidden="1" x14ac:dyDescent="0.15"/>
    <row r="3472" hidden="1" x14ac:dyDescent="0.15"/>
    <row r="3473" hidden="1" x14ac:dyDescent="0.15"/>
    <row r="3474" hidden="1" x14ac:dyDescent="0.15"/>
    <row r="3475" hidden="1" x14ac:dyDescent="0.15"/>
    <row r="3476" hidden="1" x14ac:dyDescent="0.15"/>
    <row r="3477" hidden="1" x14ac:dyDescent="0.15"/>
    <row r="3478" hidden="1" x14ac:dyDescent="0.15"/>
    <row r="3479" hidden="1" x14ac:dyDescent="0.15"/>
    <row r="3480" hidden="1" x14ac:dyDescent="0.15"/>
    <row r="3481" hidden="1" x14ac:dyDescent="0.15"/>
    <row r="3482" hidden="1" x14ac:dyDescent="0.15"/>
    <row r="3483" hidden="1" x14ac:dyDescent="0.15"/>
    <row r="3484" hidden="1" x14ac:dyDescent="0.15"/>
    <row r="3485" hidden="1" x14ac:dyDescent="0.15"/>
    <row r="3486" hidden="1" x14ac:dyDescent="0.15"/>
    <row r="3487" hidden="1" x14ac:dyDescent="0.15"/>
    <row r="3488" hidden="1" x14ac:dyDescent="0.15"/>
    <row r="3489" hidden="1" x14ac:dyDescent="0.15"/>
    <row r="3490" hidden="1" x14ac:dyDescent="0.15"/>
    <row r="3491" hidden="1" x14ac:dyDescent="0.15"/>
    <row r="3492" hidden="1" x14ac:dyDescent="0.15"/>
    <row r="3493" hidden="1" x14ac:dyDescent="0.15"/>
    <row r="3494" hidden="1" x14ac:dyDescent="0.15"/>
    <row r="3495" hidden="1" x14ac:dyDescent="0.15"/>
    <row r="3496" hidden="1" x14ac:dyDescent="0.15"/>
    <row r="3497" hidden="1" x14ac:dyDescent="0.15"/>
    <row r="3498" hidden="1" x14ac:dyDescent="0.15"/>
    <row r="3499" hidden="1" x14ac:dyDescent="0.15"/>
    <row r="3500" hidden="1" x14ac:dyDescent="0.15"/>
    <row r="3501" hidden="1" x14ac:dyDescent="0.15"/>
    <row r="3502" hidden="1" x14ac:dyDescent="0.15"/>
    <row r="3503" hidden="1" x14ac:dyDescent="0.15"/>
    <row r="3504" hidden="1" x14ac:dyDescent="0.15"/>
    <row r="3505" hidden="1" x14ac:dyDescent="0.15"/>
    <row r="3506" hidden="1" x14ac:dyDescent="0.15"/>
    <row r="3507" hidden="1" x14ac:dyDescent="0.15"/>
    <row r="3508" hidden="1" x14ac:dyDescent="0.15"/>
    <row r="3509" hidden="1" x14ac:dyDescent="0.15"/>
    <row r="3510" hidden="1" x14ac:dyDescent="0.15"/>
    <row r="3511" hidden="1" x14ac:dyDescent="0.15"/>
    <row r="3512" hidden="1" x14ac:dyDescent="0.15"/>
    <row r="3513" hidden="1" x14ac:dyDescent="0.15"/>
    <row r="3514" hidden="1" x14ac:dyDescent="0.15"/>
    <row r="3515" hidden="1" x14ac:dyDescent="0.15"/>
    <row r="3516" hidden="1" x14ac:dyDescent="0.15"/>
    <row r="3517" hidden="1" x14ac:dyDescent="0.15"/>
    <row r="3518" hidden="1" x14ac:dyDescent="0.15"/>
    <row r="3519" hidden="1" x14ac:dyDescent="0.15"/>
    <row r="3520" hidden="1" x14ac:dyDescent="0.15"/>
    <row r="3521" hidden="1" x14ac:dyDescent="0.15"/>
    <row r="3522" hidden="1" x14ac:dyDescent="0.15"/>
    <row r="3523" hidden="1" x14ac:dyDescent="0.15"/>
    <row r="3524" hidden="1" x14ac:dyDescent="0.15"/>
    <row r="3525" hidden="1" x14ac:dyDescent="0.15"/>
    <row r="3526" hidden="1" x14ac:dyDescent="0.15"/>
    <row r="3527" hidden="1" x14ac:dyDescent="0.15"/>
    <row r="3528" hidden="1" x14ac:dyDescent="0.15"/>
    <row r="3529" hidden="1" x14ac:dyDescent="0.15"/>
    <row r="3530" hidden="1" x14ac:dyDescent="0.15"/>
    <row r="3531" hidden="1" x14ac:dyDescent="0.15"/>
    <row r="3532" hidden="1" x14ac:dyDescent="0.15"/>
    <row r="3533" hidden="1" x14ac:dyDescent="0.15"/>
    <row r="3534" hidden="1" x14ac:dyDescent="0.15"/>
    <row r="3535" hidden="1" x14ac:dyDescent="0.15"/>
    <row r="3536" hidden="1" x14ac:dyDescent="0.15"/>
    <row r="3537" hidden="1" x14ac:dyDescent="0.15"/>
    <row r="3538" hidden="1" x14ac:dyDescent="0.15"/>
    <row r="3539" hidden="1" x14ac:dyDescent="0.15"/>
    <row r="3540" hidden="1" x14ac:dyDescent="0.15"/>
    <row r="3541" hidden="1" x14ac:dyDescent="0.15"/>
    <row r="3542" hidden="1" x14ac:dyDescent="0.15"/>
    <row r="3543" hidden="1" x14ac:dyDescent="0.15"/>
    <row r="3544" hidden="1" x14ac:dyDescent="0.15"/>
    <row r="3545" hidden="1" x14ac:dyDescent="0.15"/>
    <row r="3546" hidden="1" x14ac:dyDescent="0.15"/>
    <row r="3547" hidden="1" x14ac:dyDescent="0.15"/>
    <row r="3548" hidden="1" x14ac:dyDescent="0.15"/>
    <row r="3549" hidden="1" x14ac:dyDescent="0.15"/>
    <row r="3550" hidden="1" x14ac:dyDescent="0.15"/>
    <row r="3551" hidden="1" x14ac:dyDescent="0.15"/>
    <row r="3552" hidden="1" x14ac:dyDescent="0.15"/>
    <row r="3553" hidden="1" x14ac:dyDescent="0.15"/>
    <row r="3554" hidden="1" x14ac:dyDescent="0.15"/>
    <row r="3555" hidden="1" x14ac:dyDescent="0.15"/>
    <row r="3556" hidden="1" x14ac:dyDescent="0.15"/>
    <row r="3557" hidden="1" x14ac:dyDescent="0.15"/>
    <row r="3558" hidden="1" x14ac:dyDescent="0.15"/>
    <row r="3559" hidden="1" x14ac:dyDescent="0.15"/>
    <row r="3560" hidden="1" x14ac:dyDescent="0.15"/>
    <row r="3561" hidden="1" x14ac:dyDescent="0.15"/>
    <row r="3562" hidden="1" x14ac:dyDescent="0.15"/>
    <row r="3563" hidden="1" x14ac:dyDescent="0.15"/>
    <row r="3564" hidden="1" x14ac:dyDescent="0.15"/>
    <row r="3565" hidden="1" x14ac:dyDescent="0.15"/>
    <row r="3566" hidden="1" x14ac:dyDescent="0.15"/>
    <row r="3567" hidden="1" x14ac:dyDescent="0.15"/>
    <row r="3568" hidden="1" x14ac:dyDescent="0.15"/>
    <row r="3569" hidden="1" x14ac:dyDescent="0.15"/>
    <row r="3570" hidden="1" x14ac:dyDescent="0.15"/>
    <row r="3571" hidden="1" x14ac:dyDescent="0.15"/>
    <row r="3572" hidden="1" x14ac:dyDescent="0.15"/>
    <row r="3573" hidden="1" x14ac:dyDescent="0.15"/>
    <row r="3574" hidden="1" x14ac:dyDescent="0.15"/>
    <row r="3575" hidden="1" x14ac:dyDescent="0.15"/>
    <row r="3576" hidden="1" x14ac:dyDescent="0.15"/>
    <row r="3577" hidden="1" x14ac:dyDescent="0.15"/>
    <row r="3578" hidden="1" x14ac:dyDescent="0.15"/>
    <row r="3579" hidden="1" x14ac:dyDescent="0.15"/>
    <row r="3580" hidden="1" x14ac:dyDescent="0.15"/>
    <row r="3581" hidden="1" x14ac:dyDescent="0.15"/>
    <row r="3582" hidden="1" x14ac:dyDescent="0.15"/>
    <row r="3583" hidden="1" x14ac:dyDescent="0.15"/>
    <row r="3584" hidden="1" x14ac:dyDescent="0.15"/>
    <row r="3585" hidden="1" x14ac:dyDescent="0.15"/>
    <row r="3586" hidden="1" x14ac:dyDescent="0.15"/>
    <row r="3587" hidden="1" x14ac:dyDescent="0.15"/>
    <row r="3588" hidden="1" x14ac:dyDescent="0.15"/>
    <row r="3589" hidden="1" x14ac:dyDescent="0.15"/>
    <row r="3590" hidden="1" x14ac:dyDescent="0.15"/>
    <row r="3591" hidden="1" x14ac:dyDescent="0.15"/>
    <row r="3592" hidden="1" x14ac:dyDescent="0.15"/>
    <row r="3593" hidden="1" x14ac:dyDescent="0.15"/>
    <row r="3594" hidden="1" x14ac:dyDescent="0.15"/>
    <row r="3595" hidden="1" x14ac:dyDescent="0.15"/>
    <row r="3596" hidden="1" x14ac:dyDescent="0.15"/>
    <row r="3597" hidden="1" x14ac:dyDescent="0.15"/>
    <row r="3598" hidden="1" x14ac:dyDescent="0.15"/>
    <row r="3599" hidden="1" x14ac:dyDescent="0.15"/>
    <row r="3600" hidden="1" x14ac:dyDescent="0.15"/>
    <row r="3601" hidden="1" x14ac:dyDescent="0.15"/>
    <row r="3602" hidden="1" x14ac:dyDescent="0.15"/>
    <row r="3603" hidden="1" x14ac:dyDescent="0.15"/>
    <row r="3604" hidden="1" x14ac:dyDescent="0.15"/>
    <row r="3605" hidden="1" x14ac:dyDescent="0.15"/>
    <row r="3606" hidden="1" x14ac:dyDescent="0.15"/>
    <row r="3607" hidden="1" x14ac:dyDescent="0.15"/>
    <row r="3608" hidden="1" x14ac:dyDescent="0.15"/>
    <row r="3609" hidden="1" x14ac:dyDescent="0.15"/>
    <row r="3610" hidden="1" x14ac:dyDescent="0.15"/>
    <row r="3611" hidden="1" x14ac:dyDescent="0.15"/>
    <row r="3612" hidden="1" x14ac:dyDescent="0.15"/>
    <row r="3613" hidden="1" x14ac:dyDescent="0.15"/>
    <row r="3614" hidden="1" x14ac:dyDescent="0.15"/>
    <row r="3615" hidden="1" x14ac:dyDescent="0.15"/>
    <row r="3616" hidden="1" x14ac:dyDescent="0.15"/>
    <row r="3617" hidden="1" x14ac:dyDescent="0.15"/>
    <row r="3618" hidden="1" x14ac:dyDescent="0.15"/>
    <row r="3619" hidden="1" x14ac:dyDescent="0.15"/>
    <row r="3620" hidden="1" x14ac:dyDescent="0.15"/>
    <row r="3621" hidden="1" x14ac:dyDescent="0.15"/>
    <row r="3622" hidden="1" x14ac:dyDescent="0.15"/>
    <row r="3623" hidden="1" x14ac:dyDescent="0.15"/>
    <row r="3624" hidden="1" x14ac:dyDescent="0.15"/>
    <row r="3625" hidden="1" x14ac:dyDescent="0.15"/>
    <row r="3626" hidden="1" x14ac:dyDescent="0.15"/>
    <row r="3627" hidden="1" x14ac:dyDescent="0.15"/>
    <row r="3628" hidden="1" x14ac:dyDescent="0.15"/>
    <row r="3629" hidden="1" x14ac:dyDescent="0.15"/>
    <row r="3630" hidden="1" x14ac:dyDescent="0.15"/>
    <row r="3631" hidden="1" x14ac:dyDescent="0.15"/>
    <row r="3632" hidden="1" x14ac:dyDescent="0.15"/>
    <row r="3633" hidden="1" x14ac:dyDescent="0.15"/>
    <row r="3634" hidden="1" x14ac:dyDescent="0.15"/>
    <row r="3635" hidden="1" x14ac:dyDescent="0.15"/>
    <row r="3636" hidden="1" x14ac:dyDescent="0.15"/>
    <row r="3637" hidden="1" x14ac:dyDescent="0.15"/>
    <row r="3638" hidden="1" x14ac:dyDescent="0.15"/>
    <row r="3639" hidden="1" x14ac:dyDescent="0.15"/>
    <row r="3640" hidden="1" x14ac:dyDescent="0.15"/>
    <row r="3641" hidden="1" x14ac:dyDescent="0.15"/>
    <row r="3642" hidden="1" x14ac:dyDescent="0.15"/>
    <row r="3643" hidden="1" x14ac:dyDescent="0.15"/>
    <row r="3644" hidden="1" x14ac:dyDescent="0.15"/>
    <row r="3645" hidden="1" x14ac:dyDescent="0.15"/>
    <row r="3646" hidden="1" x14ac:dyDescent="0.15"/>
    <row r="3647" hidden="1" x14ac:dyDescent="0.15"/>
    <row r="3648" hidden="1" x14ac:dyDescent="0.15"/>
    <row r="3649" hidden="1" x14ac:dyDescent="0.15"/>
    <row r="3650" hidden="1" x14ac:dyDescent="0.15"/>
    <row r="3651" hidden="1" x14ac:dyDescent="0.15"/>
    <row r="3652" hidden="1" x14ac:dyDescent="0.15"/>
    <row r="3653" hidden="1" x14ac:dyDescent="0.15"/>
    <row r="3654" hidden="1" x14ac:dyDescent="0.15"/>
    <row r="3655" hidden="1" x14ac:dyDescent="0.15"/>
    <row r="3656" hidden="1" x14ac:dyDescent="0.15"/>
    <row r="3657" hidden="1" x14ac:dyDescent="0.15"/>
    <row r="3658" hidden="1" x14ac:dyDescent="0.15"/>
    <row r="3659" hidden="1" x14ac:dyDescent="0.15"/>
    <row r="3660" hidden="1" x14ac:dyDescent="0.15"/>
    <row r="3661" hidden="1" x14ac:dyDescent="0.15"/>
    <row r="3662" hidden="1" x14ac:dyDescent="0.15"/>
    <row r="3663" hidden="1" x14ac:dyDescent="0.15"/>
    <row r="3664" hidden="1" x14ac:dyDescent="0.15"/>
    <row r="3665" hidden="1" x14ac:dyDescent="0.15"/>
    <row r="3666" hidden="1" x14ac:dyDescent="0.15"/>
    <row r="3667" hidden="1" x14ac:dyDescent="0.15"/>
    <row r="3668" hidden="1" x14ac:dyDescent="0.15"/>
    <row r="3669" hidden="1" x14ac:dyDescent="0.15"/>
    <row r="3670" hidden="1" x14ac:dyDescent="0.15"/>
    <row r="3671" hidden="1" x14ac:dyDescent="0.15"/>
    <row r="3672" hidden="1" x14ac:dyDescent="0.15"/>
    <row r="3673" hidden="1" x14ac:dyDescent="0.15"/>
    <row r="3674" hidden="1" x14ac:dyDescent="0.15"/>
    <row r="3675" hidden="1" x14ac:dyDescent="0.15"/>
    <row r="3676" hidden="1" x14ac:dyDescent="0.15"/>
    <row r="3677" hidden="1" x14ac:dyDescent="0.15"/>
    <row r="3678" hidden="1" x14ac:dyDescent="0.15"/>
    <row r="3679" hidden="1" x14ac:dyDescent="0.15"/>
    <row r="3680" hidden="1" x14ac:dyDescent="0.15"/>
    <row r="3681" hidden="1" x14ac:dyDescent="0.15"/>
    <row r="3682" hidden="1" x14ac:dyDescent="0.15"/>
    <row r="3683" hidden="1" x14ac:dyDescent="0.15"/>
    <row r="3684" hidden="1" x14ac:dyDescent="0.15"/>
    <row r="3685" hidden="1" x14ac:dyDescent="0.15"/>
    <row r="3686" hidden="1" x14ac:dyDescent="0.15"/>
    <row r="3687" hidden="1" x14ac:dyDescent="0.15"/>
    <row r="3688" hidden="1" x14ac:dyDescent="0.15"/>
    <row r="3689" hidden="1" x14ac:dyDescent="0.15"/>
    <row r="3690" hidden="1" x14ac:dyDescent="0.15"/>
    <row r="3691" hidden="1" x14ac:dyDescent="0.15"/>
    <row r="3692" hidden="1" x14ac:dyDescent="0.15"/>
    <row r="3693" hidden="1" x14ac:dyDescent="0.15"/>
    <row r="3694" hidden="1" x14ac:dyDescent="0.15"/>
    <row r="3695" hidden="1" x14ac:dyDescent="0.15"/>
    <row r="3696" hidden="1" x14ac:dyDescent="0.15"/>
    <row r="3697" hidden="1" x14ac:dyDescent="0.15"/>
    <row r="3698" hidden="1" x14ac:dyDescent="0.15"/>
    <row r="3699" hidden="1" x14ac:dyDescent="0.15"/>
    <row r="3700" hidden="1" x14ac:dyDescent="0.15"/>
    <row r="3701" hidden="1" x14ac:dyDescent="0.15"/>
    <row r="3702" hidden="1" x14ac:dyDescent="0.15"/>
    <row r="3703" hidden="1" x14ac:dyDescent="0.15"/>
    <row r="3704" hidden="1" x14ac:dyDescent="0.15"/>
    <row r="3705" hidden="1" x14ac:dyDescent="0.15"/>
    <row r="3706" hidden="1" x14ac:dyDescent="0.15"/>
    <row r="3707" hidden="1" x14ac:dyDescent="0.15"/>
    <row r="3708" hidden="1" x14ac:dyDescent="0.15"/>
    <row r="3709" hidden="1" x14ac:dyDescent="0.15"/>
    <row r="3710" hidden="1" x14ac:dyDescent="0.15"/>
    <row r="3711" hidden="1" x14ac:dyDescent="0.15"/>
    <row r="3712" hidden="1" x14ac:dyDescent="0.15"/>
    <row r="3713" hidden="1" x14ac:dyDescent="0.15"/>
    <row r="3714" hidden="1" x14ac:dyDescent="0.15"/>
    <row r="3715" hidden="1" x14ac:dyDescent="0.15"/>
    <row r="3716" hidden="1" x14ac:dyDescent="0.15"/>
    <row r="3717" hidden="1" x14ac:dyDescent="0.15"/>
    <row r="3718" hidden="1" x14ac:dyDescent="0.15"/>
    <row r="3719" hidden="1" x14ac:dyDescent="0.15"/>
    <row r="3720" hidden="1" x14ac:dyDescent="0.15"/>
    <row r="3721" hidden="1" x14ac:dyDescent="0.15"/>
    <row r="3722" hidden="1" x14ac:dyDescent="0.15"/>
    <row r="3723" hidden="1" x14ac:dyDescent="0.15"/>
    <row r="3724" hidden="1" x14ac:dyDescent="0.15"/>
    <row r="3725" hidden="1" x14ac:dyDescent="0.15"/>
    <row r="3726" hidden="1" x14ac:dyDescent="0.15"/>
    <row r="3727" hidden="1" x14ac:dyDescent="0.15"/>
    <row r="3728" hidden="1" x14ac:dyDescent="0.15"/>
    <row r="3729" hidden="1" x14ac:dyDescent="0.15"/>
    <row r="3730" hidden="1" x14ac:dyDescent="0.15"/>
    <row r="3731" hidden="1" x14ac:dyDescent="0.15"/>
    <row r="3732" hidden="1" x14ac:dyDescent="0.15"/>
    <row r="3733" hidden="1" x14ac:dyDescent="0.15"/>
    <row r="3734" hidden="1" x14ac:dyDescent="0.15"/>
    <row r="3735" hidden="1" x14ac:dyDescent="0.15"/>
    <row r="3736" hidden="1" x14ac:dyDescent="0.15"/>
    <row r="3737" hidden="1" x14ac:dyDescent="0.15"/>
    <row r="3738" hidden="1" x14ac:dyDescent="0.15"/>
    <row r="3739" hidden="1" x14ac:dyDescent="0.15"/>
    <row r="3740" hidden="1" x14ac:dyDescent="0.15"/>
    <row r="3741" hidden="1" x14ac:dyDescent="0.15"/>
    <row r="3742" hidden="1" x14ac:dyDescent="0.15"/>
    <row r="3743" hidden="1" x14ac:dyDescent="0.15"/>
    <row r="3744" hidden="1" x14ac:dyDescent="0.15"/>
    <row r="3745" hidden="1" x14ac:dyDescent="0.15"/>
    <row r="3746" hidden="1" x14ac:dyDescent="0.15"/>
    <row r="3747" hidden="1" x14ac:dyDescent="0.15"/>
    <row r="3748" hidden="1" x14ac:dyDescent="0.15"/>
    <row r="3749" hidden="1" x14ac:dyDescent="0.15"/>
    <row r="3750" hidden="1" x14ac:dyDescent="0.15"/>
    <row r="3751" hidden="1" x14ac:dyDescent="0.15"/>
    <row r="3752" hidden="1" x14ac:dyDescent="0.15"/>
    <row r="3753" hidden="1" x14ac:dyDescent="0.15"/>
    <row r="3754" hidden="1" x14ac:dyDescent="0.15"/>
    <row r="3755" hidden="1" x14ac:dyDescent="0.15"/>
    <row r="3756" hidden="1" x14ac:dyDescent="0.15"/>
    <row r="3757" hidden="1" x14ac:dyDescent="0.15"/>
    <row r="3758" hidden="1" x14ac:dyDescent="0.15"/>
    <row r="3759" hidden="1" x14ac:dyDescent="0.15"/>
    <row r="3760" hidden="1" x14ac:dyDescent="0.15"/>
    <row r="3761" hidden="1" x14ac:dyDescent="0.15"/>
    <row r="3762" hidden="1" x14ac:dyDescent="0.15"/>
    <row r="3763" hidden="1" x14ac:dyDescent="0.15"/>
    <row r="3764" hidden="1" x14ac:dyDescent="0.15"/>
    <row r="3765" hidden="1" x14ac:dyDescent="0.15"/>
    <row r="3766" hidden="1" x14ac:dyDescent="0.15"/>
    <row r="3767" hidden="1" x14ac:dyDescent="0.15"/>
    <row r="3768" hidden="1" x14ac:dyDescent="0.15"/>
    <row r="3769" hidden="1" x14ac:dyDescent="0.15"/>
    <row r="3770" hidden="1" x14ac:dyDescent="0.15"/>
    <row r="3771" hidden="1" x14ac:dyDescent="0.15"/>
    <row r="3772" hidden="1" x14ac:dyDescent="0.15"/>
    <row r="3773" hidden="1" x14ac:dyDescent="0.15"/>
    <row r="3774" hidden="1" x14ac:dyDescent="0.15"/>
    <row r="3775" hidden="1" x14ac:dyDescent="0.15"/>
    <row r="3776" hidden="1" x14ac:dyDescent="0.15"/>
    <row r="3777" hidden="1" x14ac:dyDescent="0.15"/>
    <row r="3778" hidden="1" x14ac:dyDescent="0.15"/>
    <row r="3779" hidden="1" x14ac:dyDescent="0.15"/>
    <row r="3780" hidden="1" x14ac:dyDescent="0.15"/>
    <row r="3781" hidden="1" x14ac:dyDescent="0.15"/>
    <row r="3782" hidden="1" x14ac:dyDescent="0.15"/>
    <row r="3783" hidden="1" x14ac:dyDescent="0.15"/>
    <row r="3784" hidden="1" x14ac:dyDescent="0.15"/>
    <row r="3785" hidden="1" x14ac:dyDescent="0.15"/>
    <row r="3786" hidden="1" x14ac:dyDescent="0.15"/>
    <row r="3787" hidden="1" x14ac:dyDescent="0.15"/>
    <row r="3788" hidden="1" x14ac:dyDescent="0.15"/>
    <row r="3789" hidden="1" x14ac:dyDescent="0.15"/>
    <row r="3790" hidden="1" x14ac:dyDescent="0.15"/>
    <row r="3791" hidden="1" x14ac:dyDescent="0.15"/>
    <row r="3792" hidden="1" x14ac:dyDescent="0.15"/>
    <row r="3793" hidden="1" x14ac:dyDescent="0.15"/>
    <row r="3794" hidden="1" x14ac:dyDescent="0.15"/>
    <row r="3795" hidden="1" x14ac:dyDescent="0.15"/>
    <row r="3796" hidden="1" x14ac:dyDescent="0.15"/>
    <row r="3797" hidden="1" x14ac:dyDescent="0.15"/>
    <row r="3798" hidden="1" x14ac:dyDescent="0.15"/>
    <row r="3799" hidden="1" x14ac:dyDescent="0.15"/>
    <row r="3800" hidden="1" x14ac:dyDescent="0.15"/>
    <row r="3801" hidden="1" x14ac:dyDescent="0.15"/>
    <row r="3802" hidden="1" x14ac:dyDescent="0.15"/>
    <row r="3803" hidden="1" x14ac:dyDescent="0.15"/>
    <row r="3804" hidden="1" x14ac:dyDescent="0.15"/>
    <row r="3805" hidden="1" x14ac:dyDescent="0.15"/>
    <row r="3806" hidden="1" x14ac:dyDescent="0.15"/>
    <row r="3807" hidden="1" x14ac:dyDescent="0.15"/>
    <row r="3808" hidden="1" x14ac:dyDescent="0.15"/>
    <row r="3809" hidden="1" x14ac:dyDescent="0.15"/>
    <row r="3810" hidden="1" x14ac:dyDescent="0.15"/>
    <row r="3811" hidden="1" x14ac:dyDescent="0.15"/>
    <row r="3812" hidden="1" x14ac:dyDescent="0.15"/>
    <row r="3813" hidden="1" x14ac:dyDescent="0.15"/>
    <row r="3814" hidden="1" x14ac:dyDescent="0.15"/>
    <row r="3815" hidden="1" x14ac:dyDescent="0.15"/>
    <row r="3816" hidden="1" x14ac:dyDescent="0.15"/>
    <row r="3817" hidden="1" x14ac:dyDescent="0.15"/>
    <row r="3818" hidden="1" x14ac:dyDescent="0.15"/>
    <row r="3819" hidden="1" x14ac:dyDescent="0.15"/>
    <row r="3820" hidden="1" x14ac:dyDescent="0.15"/>
    <row r="3821" hidden="1" x14ac:dyDescent="0.15"/>
    <row r="3822" hidden="1" x14ac:dyDescent="0.15"/>
    <row r="3823" hidden="1" x14ac:dyDescent="0.15"/>
    <row r="3824" hidden="1" x14ac:dyDescent="0.15"/>
    <row r="3825" hidden="1" x14ac:dyDescent="0.15"/>
    <row r="3826" hidden="1" x14ac:dyDescent="0.15"/>
    <row r="3827" hidden="1" x14ac:dyDescent="0.15"/>
    <row r="3828" hidden="1" x14ac:dyDescent="0.15"/>
    <row r="3829" hidden="1" x14ac:dyDescent="0.15"/>
    <row r="3830" hidden="1" x14ac:dyDescent="0.15"/>
    <row r="3831" hidden="1" x14ac:dyDescent="0.15"/>
    <row r="3832" hidden="1" x14ac:dyDescent="0.15"/>
    <row r="3833" hidden="1" x14ac:dyDescent="0.15"/>
    <row r="3834" hidden="1" x14ac:dyDescent="0.15"/>
    <row r="3835" hidden="1" x14ac:dyDescent="0.15"/>
    <row r="3836" hidden="1" x14ac:dyDescent="0.15"/>
    <row r="3837" hidden="1" x14ac:dyDescent="0.15"/>
    <row r="3838" hidden="1" x14ac:dyDescent="0.15"/>
    <row r="3839" hidden="1" x14ac:dyDescent="0.15"/>
    <row r="3840" hidden="1" x14ac:dyDescent="0.15"/>
    <row r="3841" hidden="1" x14ac:dyDescent="0.15"/>
    <row r="3842" hidden="1" x14ac:dyDescent="0.15"/>
    <row r="3843" hidden="1" x14ac:dyDescent="0.15"/>
    <row r="3844" hidden="1" x14ac:dyDescent="0.15"/>
    <row r="3845" hidden="1" x14ac:dyDescent="0.15"/>
    <row r="3846" hidden="1" x14ac:dyDescent="0.15"/>
    <row r="3847" hidden="1" x14ac:dyDescent="0.15"/>
    <row r="3848" hidden="1" x14ac:dyDescent="0.15"/>
    <row r="3849" hidden="1" x14ac:dyDescent="0.15"/>
    <row r="3850" hidden="1" x14ac:dyDescent="0.15"/>
    <row r="3851" hidden="1" x14ac:dyDescent="0.15"/>
    <row r="3852" hidden="1" x14ac:dyDescent="0.15"/>
    <row r="3853" hidden="1" x14ac:dyDescent="0.15"/>
    <row r="3854" hidden="1" x14ac:dyDescent="0.15"/>
    <row r="3855" hidden="1" x14ac:dyDescent="0.15"/>
    <row r="3856" hidden="1" x14ac:dyDescent="0.15"/>
    <row r="3857" hidden="1" x14ac:dyDescent="0.15"/>
    <row r="3858" hidden="1" x14ac:dyDescent="0.15"/>
    <row r="3859" hidden="1" x14ac:dyDescent="0.15"/>
    <row r="3860" hidden="1" x14ac:dyDescent="0.15"/>
    <row r="3861" hidden="1" x14ac:dyDescent="0.15"/>
    <row r="3862" hidden="1" x14ac:dyDescent="0.15"/>
    <row r="3863" hidden="1" x14ac:dyDescent="0.15"/>
    <row r="3864" hidden="1" x14ac:dyDescent="0.15"/>
    <row r="3865" hidden="1" x14ac:dyDescent="0.15"/>
    <row r="3866" hidden="1" x14ac:dyDescent="0.15"/>
    <row r="3867" hidden="1" x14ac:dyDescent="0.15"/>
    <row r="3868" hidden="1" x14ac:dyDescent="0.15"/>
    <row r="3869" hidden="1" x14ac:dyDescent="0.15"/>
    <row r="3870" hidden="1" x14ac:dyDescent="0.15"/>
    <row r="3871" hidden="1" x14ac:dyDescent="0.15"/>
    <row r="3872" hidden="1" x14ac:dyDescent="0.15"/>
    <row r="3873" hidden="1" x14ac:dyDescent="0.15"/>
    <row r="3874" hidden="1" x14ac:dyDescent="0.15"/>
    <row r="3875" hidden="1" x14ac:dyDescent="0.15"/>
    <row r="3876" hidden="1" x14ac:dyDescent="0.15"/>
    <row r="3877" hidden="1" x14ac:dyDescent="0.15"/>
    <row r="3878" hidden="1" x14ac:dyDescent="0.15"/>
    <row r="3879" hidden="1" x14ac:dyDescent="0.15"/>
    <row r="3880" hidden="1" x14ac:dyDescent="0.15"/>
    <row r="3881" hidden="1" x14ac:dyDescent="0.15"/>
    <row r="3882" hidden="1" x14ac:dyDescent="0.15"/>
    <row r="3883" hidden="1" x14ac:dyDescent="0.15"/>
    <row r="3884" hidden="1" x14ac:dyDescent="0.15"/>
    <row r="3885" hidden="1" x14ac:dyDescent="0.15"/>
    <row r="3886" hidden="1" x14ac:dyDescent="0.15"/>
    <row r="3887" hidden="1" x14ac:dyDescent="0.15"/>
    <row r="3888" hidden="1" x14ac:dyDescent="0.15"/>
    <row r="3889" hidden="1" x14ac:dyDescent="0.15"/>
    <row r="3890" hidden="1" x14ac:dyDescent="0.15"/>
    <row r="3891" hidden="1" x14ac:dyDescent="0.15"/>
    <row r="3892" hidden="1" x14ac:dyDescent="0.15"/>
    <row r="3893" hidden="1" x14ac:dyDescent="0.15"/>
    <row r="3894" hidden="1" x14ac:dyDescent="0.15"/>
    <row r="3895" hidden="1" x14ac:dyDescent="0.15"/>
    <row r="3896" hidden="1" x14ac:dyDescent="0.15"/>
    <row r="3897" hidden="1" x14ac:dyDescent="0.15"/>
    <row r="3898" hidden="1" x14ac:dyDescent="0.15"/>
    <row r="3899" hidden="1" x14ac:dyDescent="0.15"/>
    <row r="3900" hidden="1" x14ac:dyDescent="0.15"/>
    <row r="3901" hidden="1" x14ac:dyDescent="0.15"/>
    <row r="3902" hidden="1" x14ac:dyDescent="0.15"/>
    <row r="3903" hidden="1" x14ac:dyDescent="0.15"/>
    <row r="3904" hidden="1" x14ac:dyDescent="0.15"/>
    <row r="3905" hidden="1" x14ac:dyDescent="0.15"/>
    <row r="3906" hidden="1" x14ac:dyDescent="0.15"/>
    <row r="3907" hidden="1" x14ac:dyDescent="0.15"/>
    <row r="3908" hidden="1" x14ac:dyDescent="0.15"/>
    <row r="3909" hidden="1" x14ac:dyDescent="0.15"/>
    <row r="3910" hidden="1" x14ac:dyDescent="0.15"/>
    <row r="3911" hidden="1" x14ac:dyDescent="0.15"/>
    <row r="3912" hidden="1" x14ac:dyDescent="0.15"/>
    <row r="3913" hidden="1" x14ac:dyDescent="0.15"/>
    <row r="3914" hidden="1" x14ac:dyDescent="0.15"/>
    <row r="3915" hidden="1" x14ac:dyDescent="0.15"/>
    <row r="3916" hidden="1" x14ac:dyDescent="0.15"/>
    <row r="3917" hidden="1" x14ac:dyDescent="0.15"/>
    <row r="3918" hidden="1" x14ac:dyDescent="0.15"/>
    <row r="3919" hidden="1" x14ac:dyDescent="0.15"/>
    <row r="3920" hidden="1" x14ac:dyDescent="0.15"/>
    <row r="3921" hidden="1" x14ac:dyDescent="0.15"/>
    <row r="3922" hidden="1" x14ac:dyDescent="0.15"/>
    <row r="3923" hidden="1" x14ac:dyDescent="0.15"/>
    <row r="3924" hidden="1" x14ac:dyDescent="0.15"/>
    <row r="3925" hidden="1" x14ac:dyDescent="0.15"/>
    <row r="3926" hidden="1" x14ac:dyDescent="0.15"/>
    <row r="3927" hidden="1" x14ac:dyDescent="0.15"/>
    <row r="3928" hidden="1" x14ac:dyDescent="0.15"/>
    <row r="3929" hidden="1" x14ac:dyDescent="0.15"/>
    <row r="3930" hidden="1" x14ac:dyDescent="0.15"/>
    <row r="3931" hidden="1" x14ac:dyDescent="0.15"/>
    <row r="3932" hidden="1" x14ac:dyDescent="0.15"/>
    <row r="3933" hidden="1" x14ac:dyDescent="0.15"/>
    <row r="3934" hidden="1" x14ac:dyDescent="0.15"/>
    <row r="3935" hidden="1" x14ac:dyDescent="0.15"/>
    <row r="3936" hidden="1" x14ac:dyDescent="0.15"/>
    <row r="3937" hidden="1" x14ac:dyDescent="0.15"/>
    <row r="3938" hidden="1" x14ac:dyDescent="0.15"/>
    <row r="3939" hidden="1" x14ac:dyDescent="0.15"/>
    <row r="3940" hidden="1" x14ac:dyDescent="0.15"/>
    <row r="3941" hidden="1" x14ac:dyDescent="0.15"/>
    <row r="3942" hidden="1" x14ac:dyDescent="0.15"/>
    <row r="3943" hidden="1" x14ac:dyDescent="0.15"/>
    <row r="3944" hidden="1" x14ac:dyDescent="0.15"/>
    <row r="3945" hidden="1" x14ac:dyDescent="0.15"/>
    <row r="3946" hidden="1" x14ac:dyDescent="0.15"/>
    <row r="3947" hidden="1" x14ac:dyDescent="0.15"/>
    <row r="3948" hidden="1" x14ac:dyDescent="0.15"/>
    <row r="3949" hidden="1" x14ac:dyDescent="0.15"/>
    <row r="3950" hidden="1" x14ac:dyDescent="0.15"/>
    <row r="3951" hidden="1" x14ac:dyDescent="0.15"/>
    <row r="3952" hidden="1" x14ac:dyDescent="0.15"/>
    <row r="3953" hidden="1" x14ac:dyDescent="0.15"/>
    <row r="3954" hidden="1" x14ac:dyDescent="0.15"/>
    <row r="3955" hidden="1" x14ac:dyDescent="0.15"/>
    <row r="3956" hidden="1" x14ac:dyDescent="0.15"/>
    <row r="3957" hidden="1" x14ac:dyDescent="0.15"/>
    <row r="3958" hidden="1" x14ac:dyDescent="0.15"/>
    <row r="3959" hidden="1" x14ac:dyDescent="0.15"/>
    <row r="3960" hidden="1" x14ac:dyDescent="0.15"/>
    <row r="3961" hidden="1" x14ac:dyDescent="0.15"/>
    <row r="3962" hidden="1" x14ac:dyDescent="0.15"/>
    <row r="3963" hidden="1" x14ac:dyDescent="0.15"/>
    <row r="3964" hidden="1" x14ac:dyDescent="0.15"/>
    <row r="3965" hidden="1" x14ac:dyDescent="0.15"/>
    <row r="3966" hidden="1" x14ac:dyDescent="0.15"/>
    <row r="3967" hidden="1" x14ac:dyDescent="0.15"/>
    <row r="3968" hidden="1" x14ac:dyDescent="0.15"/>
    <row r="3969" hidden="1" x14ac:dyDescent="0.15"/>
    <row r="3970" hidden="1" x14ac:dyDescent="0.15"/>
    <row r="3971" hidden="1" x14ac:dyDescent="0.15"/>
    <row r="3972" hidden="1" x14ac:dyDescent="0.15"/>
    <row r="3973" hidden="1" x14ac:dyDescent="0.15"/>
    <row r="3974" hidden="1" x14ac:dyDescent="0.15"/>
    <row r="3975" hidden="1" x14ac:dyDescent="0.15"/>
    <row r="3976" hidden="1" x14ac:dyDescent="0.15"/>
    <row r="3977" hidden="1" x14ac:dyDescent="0.15"/>
    <row r="3978" hidden="1" x14ac:dyDescent="0.15"/>
    <row r="3979" hidden="1" x14ac:dyDescent="0.15"/>
    <row r="3980" hidden="1" x14ac:dyDescent="0.15"/>
    <row r="3981" hidden="1" x14ac:dyDescent="0.15"/>
    <row r="3982" hidden="1" x14ac:dyDescent="0.15"/>
    <row r="3983" hidden="1" x14ac:dyDescent="0.15"/>
    <row r="3984" hidden="1" x14ac:dyDescent="0.15"/>
    <row r="3985" hidden="1" x14ac:dyDescent="0.15"/>
    <row r="3986" hidden="1" x14ac:dyDescent="0.15"/>
    <row r="3987" hidden="1" x14ac:dyDescent="0.15"/>
    <row r="3988" hidden="1" x14ac:dyDescent="0.15"/>
    <row r="3989" hidden="1" x14ac:dyDescent="0.15"/>
    <row r="3990" hidden="1" x14ac:dyDescent="0.15"/>
    <row r="3991" hidden="1" x14ac:dyDescent="0.15"/>
    <row r="3992" hidden="1" x14ac:dyDescent="0.15"/>
    <row r="3993" hidden="1" x14ac:dyDescent="0.15"/>
    <row r="3994" hidden="1" x14ac:dyDescent="0.15"/>
    <row r="3995" hidden="1" x14ac:dyDescent="0.15"/>
    <row r="3996" hidden="1" x14ac:dyDescent="0.15"/>
    <row r="3997" hidden="1" x14ac:dyDescent="0.15"/>
    <row r="3998" hidden="1" x14ac:dyDescent="0.15"/>
    <row r="3999" hidden="1" x14ac:dyDescent="0.15"/>
    <row r="4000" hidden="1" x14ac:dyDescent="0.15"/>
    <row r="4001" hidden="1" x14ac:dyDescent="0.15"/>
    <row r="4002" hidden="1" x14ac:dyDescent="0.15"/>
    <row r="4003" hidden="1" x14ac:dyDescent="0.15"/>
    <row r="4004" hidden="1" x14ac:dyDescent="0.15"/>
    <row r="4005" hidden="1" x14ac:dyDescent="0.15"/>
    <row r="4006" hidden="1" x14ac:dyDescent="0.15"/>
    <row r="4007" hidden="1" x14ac:dyDescent="0.15"/>
    <row r="4008" hidden="1" x14ac:dyDescent="0.15"/>
    <row r="4009" hidden="1" x14ac:dyDescent="0.15"/>
    <row r="4010" hidden="1" x14ac:dyDescent="0.15"/>
    <row r="4011" hidden="1" x14ac:dyDescent="0.15"/>
    <row r="4012" hidden="1" x14ac:dyDescent="0.15"/>
    <row r="4013" hidden="1" x14ac:dyDescent="0.15"/>
    <row r="4014" hidden="1" x14ac:dyDescent="0.15"/>
    <row r="4015" hidden="1" x14ac:dyDescent="0.15"/>
    <row r="4016" hidden="1" x14ac:dyDescent="0.15"/>
    <row r="4017" hidden="1" x14ac:dyDescent="0.15"/>
    <row r="4018" hidden="1" x14ac:dyDescent="0.15"/>
    <row r="4019" hidden="1" x14ac:dyDescent="0.15"/>
    <row r="4020" hidden="1" x14ac:dyDescent="0.15"/>
    <row r="4021" hidden="1" x14ac:dyDescent="0.15"/>
    <row r="4022" hidden="1" x14ac:dyDescent="0.15"/>
    <row r="4023" hidden="1" x14ac:dyDescent="0.15"/>
    <row r="4024" hidden="1" x14ac:dyDescent="0.15"/>
    <row r="4025" hidden="1" x14ac:dyDescent="0.15"/>
    <row r="4026" hidden="1" x14ac:dyDescent="0.15"/>
    <row r="4027" hidden="1" x14ac:dyDescent="0.15"/>
    <row r="4028" hidden="1" x14ac:dyDescent="0.15"/>
    <row r="4029" hidden="1" x14ac:dyDescent="0.15"/>
    <row r="4030" hidden="1" x14ac:dyDescent="0.15"/>
    <row r="4031" hidden="1" x14ac:dyDescent="0.15"/>
    <row r="4032" hidden="1" x14ac:dyDescent="0.15"/>
    <row r="4033" hidden="1" x14ac:dyDescent="0.15"/>
    <row r="4034" hidden="1" x14ac:dyDescent="0.15"/>
    <row r="4035" hidden="1" x14ac:dyDescent="0.15"/>
    <row r="4036" hidden="1" x14ac:dyDescent="0.15"/>
    <row r="4037" hidden="1" x14ac:dyDescent="0.15"/>
    <row r="4038" hidden="1" x14ac:dyDescent="0.15"/>
    <row r="4039" hidden="1" x14ac:dyDescent="0.15"/>
    <row r="4040" hidden="1" x14ac:dyDescent="0.15"/>
    <row r="4041" hidden="1" x14ac:dyDescent="0.15"/>
    <row r="4042" hidden="1" x14ac:dyDescent="0.15"/>
    <row r="4043" hidden="1" x14ac:dyDescent="0.15"/>
    <row r="4044" hidden="1" x14ac:dyDescent="0.15"/>
    <row r="4045" hidden="1" x14ac:dyDescent="0.15"/>
    <row r="4046" hidden="1" x14ac:dyDescent="0.15"/>
    <row r="4047" hidden="1" x14ac:dyDescent="0.15"/>
    <row r="4048" hidden="1" x14ac:dyDescent="0.15"/>
    <row r="4049" hidden="1" x14ac:dyDescent="0.15"/>
    <row r="4050" hidden="1" x14ac:dyDescent="0.15"/>
    <row r="4051" hidden="1" x14ac:dyDescent="0.15"/>
    <row r="4052" hidden="1" x14ac:dyDescent="0.15"/>
    <row r="4053" hidden="1" x14ac:dyDescent="0.15"/>
    <row r="4054" hidden="1" x14ac:dyDescent="0.15"/>
    <row r="4055" hidden="1" x14ac:dyDescent="0.15"/>
    <row r="4056" hidden="1" x14ac:dyDescent="0.15"/>
    <row r="4057" hidden="1" x14ac:dyDescent="0.15"/>
    <row r="4058" hidden="1" x14ac:dyDescent="0.15"/>
    <row r="4059" hidden="1" x14ac:dyDescent="0.15"/>
    <row r="4060" hidden="1" x14ac:dyDescent="0.15"/>
    <row r="4061" hidden="1" x14ac:dyDescent="0.15"/>
    <row r="4062" hidden="1" x14ac:dyDescent="0.15"/>
    <row r="4063" hidden="1" x14ac:dyDescent="0.15"/>
    <row r="4064" hidden="1" x14ac:dyDescent="0.15"/>
    <row r="4065" hidden="1" x14ac:dyDescent="0.15"/>
    <row r="4066" hidden="1" x14ac:dyDescent="0.15"/>
    <row r="4067" hidden="1" x14ac:dyDescent="0.15"/>
    <row r="4068" hidden="1" x14ac:dyDescent="0.15"/>
    <row r="4069" hidden="1" x14ac:dyDescent="0.15"/>
    <row r="4070" hidden="1" x14ac:dyDescent="0.15"/>
    <row r="4071" hidden="1" x14ac:dyDescent="0.15"/>
    <row r="4072" hidden="1" x14ac:dyDescent="0.15"/>
    <row r="4073" hidden="1" x14ac:dyDescent="0.15"/>
    <row r="4074" hidden="1" x14ac:dyDescent="0.15"/>
    <row r="4075" hidden="1" x14ac:dyDescent="0.15"/>
    <row r="4076" hidden="1" x14ac:dyDescent="0.15"/>
    <row r="4077" hidden="1" x14ac:dyDescent="0.15"/>
    <row r="4078" hidden="1" x14ac:dyDescent="0.15"/>
    <row r="4079" hidden="1" x14ac:dyDescent="0.15"/>
    <row r="4080" hidden="1" x14ac:dyDescent="0.15"/>
    <row r="4081" hidden="1" x14ac:dyDescent="0.15"/>
    <row r="4082" hidden="1" x14ac:dyDescent="0.15"/>
    <row r="4083" hidden="1" x14ac:dyDescent="0.15"/>
    <row r="4084" hidden="1" x14ac:dyDescent="0.15"/>
    <row r="4085" hidden="1" x14ac:dyDescent="0.15"/>
    <row r="4086" hidden="1" x14ac:dyDescent="0.15"/>
    <row r="4087" hidden="1" x14ac:dyDescent="0.15"/>
    <row r="4088" hidden="1" x14ac:dyDescent="0.15"/>
    <row r="4089" hidden="1" x14ac:dyDescent="0.15"/>
    <row r="4090" hidden="1" x14ac:dyDescent="0.15"/>
    <row r="4091" hidden="1" x14ac:dyDescent="0.15"/>
    <row r="4092" hidden="1" x14ac:dyDescent="0.15"/>
    <row r="4093" hidden="1" x14ac:dyDescent="0.15"/>
    <row r="4094" hidden="1" x14ac:dyDescent="0.15"/>
    <row r="4095" hidden="1" x14ac:dyDescent="0.15"/>
    <row r="4096" hidden="1" x14ac:dyDescent="0.15"/>
    <row r="4097" hidden="1" x14ac:dyDescent="0.15"/>
    <row r="4098" hidden="1" x14ac:dyDescent="0.15"/>
    <row r="4099" hidden="1" x14ac:dyDescent="0.15"/>
    <row r="4100" hidden="1" x14ac:dyDescent="0.15"/>
    <row r="4101" hidden="1" x14ac:dyDescent="0.15"/>
    <row r="4102" hidden="1" x14ac:dyDescent="0.15"/>
    <row r="4103" hidden="1" x14ac:dyDescent="0.15"/>
    <row r="4104" hidden="1" x14ac:dyDescent="0.15"/>
    <row r="4105" hidden="1" x14ac:dyDescent="0.15"/>
    <row r="4106" hidden="1" x14ac:dyDescent="0.15"/>
    <row r="4107" hidden="1" x14ac:dyDescent="0.15"/>
    <row r="4108" hidden="1" x14ac:dyDescent="0.15"/>
    <row r="4109" hidden="1" x14ac:dyDescent="0.15"/>
    <row r="4110" hidden="1" x14ac:dyDescent="0.15"/>
    <row r="4111" hidden="1" x14ac:dyDescent="0.15"/>
    <row r="4112" hidden="1" x14ac:dyDescent="0.15"/>
    <row r="4113" hidden="1" x14ac:dyDescent="0.15"/>
    <row r="4114" hidden="1" x14ac:dyDescent="0.15"/>
    <row r="4115" hidden="1" x14ac:dyDescent="0.15"/>
    <row r="4116" hidden="1" x14ac:dyDescent="0.15"/>
    <row r="4117" hidden="1" x14ac:dyDescent="0.15"/>
    <row r="4118" hidden="1" x14ac:dyDescent="0.15"/>
    <row r="4119" hidden="1" x14ac:dyDescent="0.15"/>
    <row r="4120" hidden="1" x14ac:dyDescent="0.15"/>
    <row r="4121" hidden="1" x14ac:dyDescent="0.15"/>
    <row r="4122" hidden="1" x14ac:dyDescent="0.15"/>
    <row r="4123" hidden="1" x14ac:dyDescent="0.15"/>
    <row r="4124" hidden="1" x14ac:dyDescent="0.15"/>
    <row r="4125" hidden="1" x14ac:dyDescent="0.15"/>
    <row r="4126" hidden="1" x14ac:dyDescent="0.15"/>
    <row r="4127" hidden="1" x14ac:dyDescent="0.15"/>
    <row r="4128" hidden="1" x14ac:dyDescent="0.15"/>
    <row r="4129" hidden="1" x14ac:dyDescent="0.15"/>
    <row r="4130" hidden="1" x14ac:dyDescent="0.15"/>
    <row r="4131" hidden="1" x14ac:dyDescent="0.15"/>
    <row r="4132" hidden="1" x14ac:dyDescent="0.15"/>
    <row r="4133" hidden="1" x14ac:dyDescent="0.15"/>
    <row r="4134" hidden="1" x14ac:dyDescent="0.15"/>
    <row r="4135" hidden="1" x14ac:dyDescent="0.15"/>
    <row r="4136" hidden="1" x14ac:dyDescent="0.15"/>
    <row r="4137" hidden="1" x14ac:dyDescent="0.15"/>
    <row r="4138" hidden="1" x14ac:dyDescent="0.15"/>
    <row r="4139" hidden="1" x14ac:dyDescent="0.15"/>
    <row r="4140" hidden="1" x14ac:dyDescent="0.15"/>
    <row r="4141" hidden="1" x14ac:dyDescent="0.15"/>
    <row r="4142" hidden="1" x14ac:dyDescent="0.15"/>
    <row r="4143" hidden="1" x14ac:dyDescent="0.15"/>
    <row r="4144" hidden="1" x14ac:dyDescent="0.15"/>
    <row r="4145" hidden="1" x14ac:dyDescent="0.15"/>
    <row r="4146" hidden="1" x14ac:dyDescent="0.15"/>
    <row r="4147" hidden="1" x14ac:dyDescent="0.15"/>
    <row r="4148" hidden="1" x14ac:dyDescent="0.15"/>
    <row r="4149" hidden="1" x14ac:dyDescent="0.15"/>
    <row r="4150" hidden="1" x14ac:dyDescent="0.15"/>
    <row r="4151" hidden="1" x14ac:dyDescent="0.15"/>
    <row r="4152" hidden="1" x14ac:dyDescent="0.15"/>
    <row r="4153" hidden="1" x14ac:dyDescent="0.15"/>
    <row r="4154" hidden="1" x14ac:dyDescent="0.15"/>
    <row r="4155" hidden="1" x14ac:dyDescent="0.15"/>
    <row r="4156" hidden="1" x14ac:dyDescent="0.15"/>
    <row r="4157" hidden="1" x14ac:dyDescent="0.15"/>
    <row r="4158" hidden="1" x14ac:dyDescent="0.15"/>
    <row r="4159" hidden="1" x14ac:dyDescent="0.15"/>
    <row r="4160" hidden="1" x14ac:dyDescent="0.15"/>
    <row r="4161" hidden="1" x14ac:dyDescent="0.15"/>
    <row r="4162" hidden="1" x14ac:dyDescent="0.15"/>
    <row r="4163" hidden="1" x14ac:dyDescent="0.15"/>
    <row r="4164" hidden="1" x14ac:dyDescent="0.15"/>
    <row r="4165" hidden="1" x14ac:dyDescent="0.15"/>
    <row r="4166" hidden="1" x14ac:dyDescent="0.15"/>
    <row r="4167" hidden="1" x14ac:dyDescent="0.15"/>
    <row r="4168" hidden="1" x14ac:dyDescent="0.15"/>
    <row r="4169" hidden="1" x14ac:dyDescent="0.15"/>
    <row r="4170" hidden="1" x14ac:dyDescent="0.15"/>
    <row r="4171" hidden="1" x14ac:dyDescent="0.15"/>
    <row r="4172" hidden="1" x14ac:dyDescent="0.15"/>
    <row r="4173" hidden="1" x14ac:dyDescent="0.15"/>
    <row r="4174" hidden="1" x14ac:dyDescent="0.15"/>
    <row r="4175" hidden="1" x14ac:dyDescent="0.15"/>
    <row r="4176" hidden="1" x14ac:dyDescent="0.15"/>
    <row r="4177" hidden="1" x14ac:dyDescent="0.15"/>
    <row r="4178" hidden="1" x14ac:dyDescent="0.15"/>
    <row r="4179" hidden="1" x14ac:dyDescent="0.15"/>
    <row r="4180" hidden="1" x14ac:dyDescent="0.15"/>
    <row r="4181" hidden="1" x14ac:dyDescent="0.15"/>
    <row r="4182" hidden="1" x14ac:dyDescent="0.15"/>
    <row r="4183" hidden="1" x14ac:dyDescent="0.15"/>
    <row r="4184" hidden="1" x14ac:dyDescent="0.15"/>
    <row r="4185" hidden="1" x14ac:dyDescent="0.15"/>
    <row r="4186" hidden="1" x14ac:dyDescent="0.15"/>
    <row r="4187" hidden="1" x14ac:dyDescent="0.15"/>
    <row r="4188" hidden="1" x14ac:dyDescent="0.15"/>
    <row r="4189" hidden="1" x14ac:dyDescent="0.15"/>
    <row r="4190" hidden="1" x14ac:dyDescent="0.15"/>
    <row r="4191" hidden="1" x14ac:dyDescent="0.15"/>
    <row r="4192" hidden="1" x14ac:dyDescent="0.15"/>
    <row r="4193" hidden="1" x14ac:dyDescent="0.15"/>
    <row r="4194" hidden="1" x14ac:dyDescent="0.15"/>
    <row r="4195" hidden="1" x14ac:dyDescent="0.15"/>
    <row r="4196" hidden="1" x14ac:dyDescent="0.15"/>
    <row r="4197" hidden="1" x14ac:dyDescent="0.15"/>
    <row r="4198" hidden="1" x14ac:dyDescent="0.15"/>
    <row r="4199" hidden="1" x14ac:dyDescent="0.15"/>
    <row r="4200" hidden="1" x14ac:dyDescent="0.15"/>
    <row r="4201" hidden="1" x14ac:dyDescent="0.15"/>
    <row r="4202" hidden="1" x14ac:dyDescent="0.15"/>
    <row r="4203" hidden="1" x14ac:dyDescent="0.15"/>
    <row r="4204" hidden="1" x14ac:dyDescent="0.15"/>
    <row r="4205" hidden="1" x14ac:dyDescent="0.15"/>
    <row r="4206" hidden="1" x14ac:dyDescent="0.15"/>
    <row r="4207" hidden="1" x14ac:dyDescent="0.15"/>
    <row r="4208" hidden="1" x14ac:dyDescent="0.15"/>
    <row r="4209" hidden="1" x14ac:dyDescent="0.15"/>
    <row r="4210" hidden="1" x14ac:dyDescent="0.15"/>
    <row r="4211" hidden="1" x14ac:dyDescent="0.15"/>
    <row r="4212" hidden="1" x14ac:dyDescent="0.15"/>
    <row r="4213" hidden="1" x14ac:dyDescent="0.15"/>
    <row r="4214" hidden="1" x14ac:dyDescent="0.15"/>
    <row r="4215" hidden="1" x14ac:dyDescent="0.15"/>
    <row r="4216" hidden="1" x14ac:dyDescent="0.15"/>
    <row r="4217" hidden="1" x14ac:dyDescent="0.15"/>
    <row r="4218" hidden="1" x14ac:dyDescent="0.15"/>
    <row r="4219" hidden="1" x14ac:dyDescent="0.15"/>
    <row r="4220" hidden="1" x14ac:dyDescent="0.15"/>
    <row r="4221" hidden="1" x14ac:dyDescent="0.15"/>
    <row r="4222" hidden="1" x14ac:dyDescent="0.15"/>
    <row r="4223" hidden="1" x14ac:dyDescent="0.15"/>
    <row r="4224" hidden="1" x14ac:dyDescent="0.15"/>
    <row r="4225" hidden="1" x14ac:dyDescent="0.15"/>
    <row r="4226" hidden="1" x14ac:dyDescent="0.15"/>
    <row r="4227" hidden="1" x14ac:dyDescent="0.15"/>
    <row r="4228" hidden="1" x14ac:dyDescent="0.15"/>
    <row r="4229" hidden="1" x14ac:dyDescent="0.15"/>
    <row r="4230" hidden="1" x14ac:dyDescent="0.15"/>
    <row r="4231" hidden="1" x14ac:dyDescent="0.15"/>
    <row r="4232" hidden="1" x14ac:dyDescent="0.15"/>
    <row r="4233" hidden="1" x14ac:dyDescent="0.15"/>
    <row r="4234" hidden="1" x14ac:dyDescent="0.15"/>
    <row r="4235" hidden="1" x14ac:dyDescent="0.15"/>
    <row r="4236" hidden="1" x14ac:dyDescent="0.15"/>
    <row r="4237" hidden="1" x14ac:dyDescent="0.15"/>
    <row r="4238" hidden="1" x14ac:dyDescent="0.15"/>
    <row r="4239" hidden="1" x14ac:dyDescent="0.15"/>
    <row r="4240" hidden="1" x14ac:dyDescent="0.15"/>
    <row r="4241" hidden="1" x14ac:dyDescent="0.15"/>
    <row r="4242" hidden="1" x14ac:dyDescent="0.15"/>
    <row r="4243" hidden="1" x14ac:dyDescent="0.15"/>
    <row r="4244" hidden="1" x14ac:dyDescent="0.15"/>
    <row r="4245" hidden="1" x14ac:dyDescent="0.15"/>
    <row r="4246" hidden="1" x14ac:dyDescent="0.15"/>
    <row r="4247" hidden="1" x14ac:dyDescent="0.15"/>
    <row r="4248" hidden="1" x14ac:dyDescent="0.15"/>
    <row r="4249" hidden="1" x14ac:dyDescent="0.15"/>
    <row r="4250" hidden="1" x14ac:dyDescent="0.15"/>
    <row r="4251" hidden="1" x14ac:dyDescent="0.15"/>
    <row r="4252" hidden="1" x14ac:dyDescent="0.15"/>
    <row r="4253" hidden="1" x14ac:dyDescent="0.15"/>
    <row r="4254" hidden="1" x14ac:dyDescent="0.15"/>
    <row r="4255" hidden="1" x14ac:dyDescent="0.15"/>
    <row r="4256" hidden="1" x14ac:dyDescent="0.15"/>
    <row r="4257" hidden="1" x14ac:dyDescent="0.15"/>
    <row r="4258" hidden="1" x14ac:dyDescent="0.15"/>
    <row r="4259" hidden="1" x14ac:dyDescent="0.15"/>
    <row r="4260" hidden="1" x14ac:dyDescent="0.15"/>
    <row r="4261" hidden="1" x14ac:dyDescent="0.15"/>
    <row r="4262" hidden="1" x14ac:dyDescent="0.15"/>
    <row r="4263" hidden="1" x14ac:dyDescent="0.15"/>
    <row r="4264" hidden="1" x14ac:dyDescent="0.15"/>
    <row r="4265" hidden="1" x14ac:dyDescent="0.15"/>
    <row r="4266" hidden="1" x14ac:dyDescent="0.15"/>
    <row r="4267" hidden="1" x14ac:dyDescent="0.15"/>
    <row r="4268" hidden="1" x14ac:dyDescent="0.15"/>
    <row r="4269" hidden="1" x14ac:dyDescent="0.15"/>
    <row r="4270" hidden="1" x14ac:dyDescent="0.15"/>
    <row r="4271" hidden="1" x14ac:dyDescent="0.15"/>
    <row r="4272" hidden="1" x14ac:dyDescent="0.15"/>
    <row r="4273" hidden="1" x14ac:dyDescent="0.15"/>
    <row r="4274" hidden="1" x14ac:dyDescent="0.15"/>
    <row r="4275" hidden="1" x14ac:dyDescent="0.15"/>
    <row r="4276" hidden="1" x14ac:dyDescent="0.15"/>
    <row r="4277" hidden="1" x14ac:dyDescent="0.15"/>
    <row r="4278" hidden="1" x14ac:dyDescent="0.15"/>
    <row r="4279" hidden="1" x14ac:dyDescent="0.15"/>
    <row r="4280" hidden="1" x14ac:dyDescent="0.15"/>
    <row r="4281" hidden="1" x14ac:dyDescent="0.15"/>
    <row r="4282" hidden="1" x14ac:dyDescent="0.15"/>
    <row r="4283" hidden="1" x14ac:dyDescent="0.15"/>
    <row r="4284" hidden="1" x14ac:dyDescent="0.15"/>
    <row r="4285" hidden="1" x14ac:dyDescent="0.15"/>
    <row r="4286" hidden="1" x14ac:dyDescent="0.15"/>
    <row r="4287" hidden="1" x14ac:dyDescent="0.15"/>
    <row r="4288" hidden="1" x14ac:dyDescent="0.15"/>
    <row r="4289" hidden="1" x14ac:dyDescent="0.15"/>
    <row r="4290" hidden="1" x14ac:dyDescent="0.15"/>
    <row r="4291" hidden="1" x14ac:dyDescent="0.15"/>
    <row r="4292" hidden="1" x14ac:dyDescent="0.15"/>
    <row r="4293" hidden="1" x14ac:dyDescent="0.15"/>
    <row r="4294" hidden="1" x14ac:dyDescent="0.15"/>
    <row r="4295" hidden="1" x14ac:dyDescent="0.15"/>
    <row r="4296" hidden="1" x14ac:dyDescent="0.15"/>
    <row r="4297" hidden="1" x14ac:dyDescent="0.15"/>
    <row r="4298" hidden="1" x14ac:dyDescent="0.15"/>
    <row r="4299" hidden="1" x14ac:dyDescent="0.15"/>
    <row r="4300" hidden="1" x14ac:dyDescent="0.15"/>
    <row r="4301" hidden="1" x14ac:dyDescent="0.15"/>
    <row r="4302" hidden="1" x14ac:dyDescent="0.15"/>
    <row r="4303" hidden="1" x14ac:dyDescent="0.15"/>
    <row r="4304" hidden="1" x14ac:dyDescent="0.15"/>
    <row r="4305" hidden="1" x14ac:dyDescent="0.15"/>
    <row r="4306" hidden="1" x14ac:dyDescent="0.15"/>
    <row r="4307" hidden="1" x14ac:dyDescent="0.15"/>
    <row r="4308" hidden="1" x14ac:dyDescent="0.15"/>
    <row r="4309" hidden="1" x14ac:dyDescent="0.15"/>
    <row r="4310" hidden="1" x14ac:dyDescent="0.15"/>
    <row r="4311" hidden="1" x14ac:dyDescent="0.15"/>
    <row r="4312" hidden="1" x14ac:dyDescent="0.15"/>
    <row r="4313" hidden="1" x14ac:dyDescent="0.15"/>
    <row r="4314" hidden="1" x14ac:dyDescent="0.15"/>
    <row r="4315" hidden="1" x14ac:dyDescent="0.15"/>
    <row r="4316" hidden="1" x14ac:dyDescent="0.15"/>
    <row r="4317" hidden="1" x14ac:dyDescent="0.15"/>
    <row r="4318" hidden="1" x14ac:dyDescent="0.15"/>
    <row r="4319" hidden="1" x14ac:dyDescent="0.15"/>
    <row r="4320" hidden="1" x14ac:dyDescent="0.15"/>
    <row r="4321" hidden="1" x14ac:dyDescent="0.15"/>
    <row r="4322" hidden="1" x14ac:dyDescent="0.15"/>
    <row r="4323" hidden="1" x14ac:dyDescent="0.15"/>
    <row r="4324" hidden="1" x14ac:dyDescent="0.15"/>
    <row r="4325" hidden="1" x14ac:dyDescent="0.15"/>
    <row r="4326" hidden="1" x14ac:dyDescent="0.15"/>
    <row r="4327" hidden="1" x14ac:dyDescent="0.15"/>
    <row r="4328" hidden="1" x14ac:dyDescent="0.15"/>
    <row r="4329" hidden="1" x14ac:dyDescent="0.15"/>
    <row r="4330" hidden="1" x14ac:dyDescent="0.15"/>
    <row r="4331" hidden="1" x14ac:dyDescent="0.15"/>
    <row r="4332" hidden="1" x14ac:dyDescent="0.15"/>
    <row r="4333" hidden="1" x14ac:dyDescent="0.15"/>
    <row r="4334" hidden="1" x14ac:dyDescent="0.15"/>
    <row r="4335" hidden="1" x14ac:dyDescent="0.15"/>
    <row r="4336" hidden="1" x14ac:dyDescent="0.15"/>
    <row r="4337" hidden="1" x14ac:dyDescent="0.15"/>
    <row r="4338" hidden="1" x14ac:dyDescent="0.15"/>
    <row r="4339" hidden="1" x14ac:dyDescent="0.15"/>
    <row r="4340" hidden="1" x14ac:dyDescent="0.15"/>
    <row r="4341" hidden="1" x14ac:dyDescent="0.15"/>
    <row r="4342" hidden="1" x14ac:dyDescent="0.15"/>
    <row r="4343" hidden="1" x14ac:dyDescent="0.15"/>
    <row r="4344" hidden="1" x14ac:dyDescent="0.15"/>
    <row r="4345" hidden="1" x14ac:dyDescent="0.15"/>
    <row r="4346" hidden="1" x14ac:dyDescent="0.15"/>
    <row r="4347" hidden="1" x14ac:dyDescent="0.15"/>
    <row r="4348" hidden="1" x14ac:dyDescent="0.15"/>
    <row r="4349" hidden="1" x14ac:dyDescent="0.15"/>
    <row r="4350" hidden="1" x14ac:dyDescent="0.15"/>
    <row r="4351" hidden="1" x14ac:dyDescent="0.15"/>
    <row r="4352" hidden="1" x14ac:dyDescent="0.15"/>
    <row r="4353" hidden="1" x14ac:dyDescent="0.15"/>
    <row r="4354" hidden="1" x14ac:dyDescent="0.15"/>
    <row r="4355" hidden="1" x14ac:dyDescent="0.15"/>
    <row r="4356" hidden="1" x14ac:dyDescent="0.15"/>
    <row r="4357" hidden="1" x14ac:dyDescent="0.15"/>
    <row r="4358" hidden="1" x14ac:dyDescent="0.15"/>
    <row r="4359" hidden="1" x14ac:dyDescent="0.15"/>
    <row r="4360" hidden="1" x14ac:dyDescent="0.15"/>
    <row r="4361" hidden="1" x14ac:dyDescent="0.15"/>
    <row r="4362" hidden="1" x14ac:dyDescent="0.15"/>
    <row r="4363" hidden="1" x14ac:dyDescent="0.15"/>
    <row r="4364" hidden="1" x14ac:dyDescent="0.15"/>
    <row r="4365" hidden="1" x14ac:dyDescent="0.15"/>
    <row r="4366" hidden="1" x14ac:dyDescent="0.15"/>
    <row r="4367" hidden="1" x14ac:dyDescent="0.15"/>
    <row r="4368" hidden="1" x14ac:dyDescent="0.15"/>
    <row r="4369" hidden="1" x14ac:dyDescent="0.15"/>
    <row r="4370" hidden="1" x14ac:dyDescent="0.15"/>
    <row r="4371" hidden="1" x14ac:dyDescent="0.15"/>
    <row r="4372" hidden="1" x14ac:dyDescent="0.15"/>
    <row r="4373" hidden="1" x14ac:dyDescent="0.15"/>
    <row r="4374" hidden="1" x14ac:dyDescent="0.15"/>
    <row r="4375" hidden="1" x14ac:dyDescent="0.15"/>
    <row r="4376" hidden="1" x14ac:dyDescent="0.15"/>
    <row r="4377" hidden="1" x14ac:dyDescent="0.15"/>
    <row r="4378" hidden="1" x14ac:dyDescent="0.15"/>
    <row r="4379" hidden="1" x14ac:dyDescent="0.15"/>
    <row r="4380" hidden="1" x14ac:dyDescent="0.15"/>
    <row r="4381" hidden="1" x14ac:dyDescent="0.15"/>
    <row r="4382" hidden="1" x14ac:dyDescent="0.15"/>
    <row r="4383" hidden="1" x14ac:dyDescent="0.15"/>
    <row r="4384" hidden="1" x14ac:dyDescent="0.15"/>
    <row r="4385" hidden="1" x14ac:dyDescent="0.15"/>
    <row r="4386" hidden="1" x14ac:dyDescent="0.15"/>
    <row r="4387" hidden="1" x14ac:dyDescent="0.15"/>
    <row r="4388" hidden="1" x14ac:dyDescent="0.15"/>
    <row r="4389" hidden="1" x14ac:dyDescent="0.15"/>
    <row r="4390" hidden="1" x14ac:dyDescent="0.15"/>
    <row r="4391" hidden="1" x14ac:dyDescent="0.15"/>
    <row r="4392" hidden="1" x14ac:dyDescent="0.15"/>
    <row r="4393" hidden="1" x14ac:dyDescent="0.15"/>
    <row r="4394" hidden="1" x14ac:dyDescent="0.15"/>
    <row r="4395" hidden="1" x14ac:dyDescent="0.15"/>
    <row r="4396" hidden="1" x14ac:dyDescent="0.15"/>
    <row r="4397" hidden="1" x14ac:dyDescent="0.15"/>
    <row r="4398" hidden="1" x14ac:dyDescent="0.15"/>
    <row r="4399" hidden="1" x14ac:dyDescent="0.15"/>
    <row r="4400" hidden="1" x14ac:dyDescent="0.15"/>
    <row r="4401" hidden="1" x14ac:dyDescent="0.15"/>
    <row r="4402" hidden="1" x14ac:dyDescent="0.15"/>
    <row r="4403" hidden="1" x14ac:dyDescent="0.15"/>
    <row r="4404" hidden="1" x14ac:dyDescent="0.15"/>
    <row r="4405" hidden="1" x14ac:dyDescent="0.15"/>
    <row r="4406" hidden="1" x14ac:dyDescent="0.15"/>
    <row r="4407" hidden="1" x14ac:dyDescent="0.15"/>
    <row r="4408" hidden="1" x14ac:dyDescent="0.15"/>
    <row r="4409" hidden="1" x14ac:dyDescent="0.15"/>
    <row r="4410" hidden="1" x14ac:dyDescent="0.15"/>
    <row r="4411" hidden="1" x14ac:dyDescent="0.15"/>
    <row r="4412" hidden="1" x14ac:dyDescent="0.15"/>
    <row r="4413" hidden="1" x14ac:dyDescent="0.15"/>
    <row r="4414" hidden="1" x14ac:dyDescent="0.15"/>
    <row r="4415" hidden="1" x14ac:dyDescent="0.15"/>
    <row r="4416" hidden="1" x14ac:dyDescent="0.15"/>
    <row r="4417" hidden="1" x14ac:dyDescent="0.15"/>
    <row r="4418" hidden="1" x14ac:dyDescent="0.15"/>
    <row r="4419" hidden="1" x14ac:dyDescent="0.15"/>
    <row r="4420" hidden="1" x14ac:dyDescent="0.15"/>
    <row r="4421" hidden="1" x14ac:dyDescent="0.15"/>
    <row r="4422" hidden="1" x14ac:dyDescent="0.15"/>
    <row r="4423" hidden="1" x14ac:dyDescent="0.15"/>
    <row r="4424" hidden="1" x14ac:dyDescent="0.15"/>
    <row r="4425" hidden="1" x14ac:dyDescent="0.15"/>
    <row r="4426" hidden="1" x14ac:dyDescent="0.15"/>
    <row r="4427" hidden="1" x14ac:dyDescent="0.15"/>
    <row r="4428" hidden="1" x14ac:dyDescent="0.15"/>
    <row r="4429" hidden="1" x14ac:dyDescent="0.15"/>
    <row r="4430" hidden="1" x14ac:dyDescent="0.15"/>
    <row r="4431" hidden="1" x14ac:dyDescent="0.15"/>
    <row r="4432" hidden="1" x14ac:dyDescent="0.15"/>
    <row r="4433" hidden="1" x14ac:dyDescent="0.15"/>
    <row r="4434" hidden="1" x14ac:dyDescent="0.15"/>
    <row r="4435" hidden="1" x14ac:dyDescent="0.15"/>
    <row r="4436" hidden="1" x14ac:dyDescent="0.15"/>
    <row r="4437" hidden="1" x14ac:dyDescent="0.15"/>
    <row r="4438" hidden="1" x14ac:dyDescent="0.15"/>
    <row r="4439" hidden="1" x14ac:dyDescent="0.15"/>
    <row r="4440" hidden="1" x14ac:dyDescent="0.15"/>
    <row r="4441" hidden="1" x14ac:dyDescent="0.15"/>
    <row r="4442" hidden="1" x14ac:dyDescent="0.15"/>
    <row r="4443" hidden="1" x14ac:dyDescent="0.15"/>
    <row r="4444" hidden="1" x14ac:dyDescent="0.15"/>
    <row r="4445" hidden="1" x14ac:dyDescent="0.15"/>
    <row r="4446" hidden="1" x14ac:dyDescent="0.15"/>
    <row r="4447" hidden="1" x14ac:dyDescent="0.15"/>
    <row r="4448" hidden="1" x14ac:dyDescent="0.15"/>
    <row r="4449" hidden="1" x14ac:dyDescent="0.15"/>
    <row r="4450" hidden="1" x14ac:dyDescent="0.15"/>
    <row r="4451" hidden="1" x14ac:dyDescent="0.15"/>
    <row r="4452" hidden="1" x14ac:dyDescent="0.15"/>
    <row r="4453" hidden="1" x14ac:dyDescent="0.15"/>
    <row r="4454" hidden="1" x14ac:dyDescent="0.15"/>
    <row r="4455" hidden="1" x14ac:dyDescent="0.15"/>
    <row r="4456" hidden="1" x14ac:dyDescent="0.15"/>
    <row r="4457" hidden="1" x14ac:dyDescent="0.15"/>
    <row r="4458" hidden="1" x14ac:dyDescent="0.15"/>
    <row r="4459" hidden="1" x14ac:dyDescent="0.15"/>
    <row r="4460" hidden="1" x14ac:dyDescent="0.15"/>
    <row r="4461" hidden="1" x14ac:dyDescent="0.15"/>
    <row r="4462" hidden="1" x14ac:dyDescent="0.15"/>
    <row r="4463" hidden="1" x14ac:dyDescent="0.15"/>
    <row r="4464" hidden="1" x14ac:dyDescent="0.15"/>
    <row r="4465" hidden="1" x14ac:dyDescent="0.15"/>
    <row r="4466" hidden="1" x14ac:dyDescent="0.15"/>
    <row r="4467" hidden="1" x14ac:dyDescent="0.15"/>
    <row r="4468" hidden="1" x14ac:dyDescent="0.15"/>
    <row r="4469" hidden="1" x14ac:dyDescent="0.15"/>
    <row r="4470" hidden="1" x14ac:dyDescent="0.15"/>
    <row r="4471" hidden="1" x14ac:dyDescent="0.15"/>
    <row r="4472" hidden="1" x14ac:dyDescent="0.15"/>
    <row r="4473" hidden="1" x14ac:dyDescent="0.15"/>
    <row r="4474" hidden="1" x14ac:dyDescent="0.15"/>
    <row r="4475" hidden="1" x14ac:dyDescent="0.15"/>
    <row r="4476" hidden="1" x14ac:dyDescent="0.15"/>
    <row r="4477" hidden="1" x14ac:dyDescent="0.15"/>
    <row r="4478" hidden="1" x14ac:dyDescent="0.15"/>
    <row r="4479" hidden="1" x14ac:dyDescent="0.15"/>
    <row r="4480" hidden="1" x14ac:dyDescent="0.15"/>
    <row r="4481" hidden="1" x14ac:dyDescent="0.15"/>
    <row r="4482" hidden="1" x14ac:dyDescent="0.15"/>
    <row r="4483" hidden="1" x14ac:dyDescent="0.15"/>
    <row r="4484" hidden="1" x14ac:dyDescent="0.15"/>
    <row r="4485" hidden="1" x14ac:dyDescent="0.15"/>
    <row r="4486" hidden="1" x14ac:dyDescent="0.15"/>
    <row r="4487" hidden="1" x14ac:dyDescent="0.15"/>
    <row r="4488" hidden="1" x14ac:dyDescent="0.15"/>
    <row r="4489" hidden="1" x14ac:dyDescent="0.15"/>
    <row r="4490" hidden="1" x14ac:dyDescent="0.15"/>
    <row r="4491" hidden="1" x14ac:dyDescent="0.15"/>
    <row r="4492" hidden="1" x14ac:dyDescent="0.15"/>
    <row r="4493" hidden="1" x14ac:dyDescent="0.15"/>
    <row r="4494" hidden="1" x14ac:dyDescent="0.15"/>
    <row r="4495" hidden="1" x14ac:dyDescent="0.15"/>
    <row r="4496" hidden="1" x14ac:dyDescent="0.15"/>
    <row r="4497" hidden="1" x14ac:dyDescent="0.15"/>
    <row r="4498" hidden="1" x14ac:dyDescent="0.15"/>
    <row r="4499" hidden="1" x14ac:dyDescent="0.15"/>
    <row r="4500" hidden="1" x14ac:dyDescent="0.15"/>
    <row r="4501" hidden="1" x14ac:dyDescent="0.15"/>
    <row r="4502" hidden="1" x14ac:dyDescent="0.15"/>
    <row r="4503" hidden="1" x14ac:dyDescent="0.15"/>
    <row r="4504" hidden="1" x14ac:dyDescent="0.15"/>
    <row r="4505" hidden="1" x14ac:dyDescent="0.15"/>
    <row r="4506" hidden="1" x14ac:dyDescent="0.15"/>
    <row r="4507" hidden="1" x14ac:dyDescent="0.15"/>
    <row r="4508" hidden="1" x14ac:dyDescent="0.15"/>
    <row r="4509" hidden="1" x14ac:dyDescent="0.15"/>
    <row r="4510" hidden="1" x14ac:dyDescent="0.15"/>
    <row r="4511" hidden="1" x14ac:dyDescent="0.15"/>
    <row r="4512" hidden="1" x14ac:dyDescent="0.15"/>
    <row r="4513" hidden="1" x14ac:dyDescent="0.15"/>
    <row r="4514" hidden="1" x14ac:dyDescent="0.15"/>
    <row r="4515" hidden="1" x14ac:dyDescent="0.15"/>
    <row r="4516" hidden="1" x14ac:dyDescent="0.15"/>
    <row r="4517" hidden="1" x14ac:dyDescent="0.15"/>
    <row r="4518" hidden="1" x14ac:dyDescent="0.15"/>
    <row r="4519" hidden="1" x14ac:dyDescent="0.15"/>
    <row r="4520" hidden="1" x14ac:dyDescent="0.15"/>
    <row r="4521" hidden="1" x14ac:dyDescent="0.15"/>
    <row r="4522" hidden="1" x14ac:dyDescent="0.15"/>
    <row r="4523" hidden="1" x14ac:dyDescent="0.15"/>
    <row r="4524" hidden="1" x14ac:dyDescent="0.15"/>
    <row r="4525" hidden="1" x14ac:dyDescent="0.15"/>
    <row r="4526" hidden="1" x14ac:dyDescent="0.15"/>
    <row r="4527" hidden="1" x14ac:dyDescent="0.15"/>
    <row r="4528" hidden="1" x14ac:dyDescent="0.15"/>
    <row r="4529" hidden="1" x14ac:dyDescent="0.15"/>
    <row r="4530" hidden="1" x14ac:dyDescent="0.15"/>
    <row r="4531" hidden="1" x14ac:dyDescent="0.15"/>
    <row r="4532" hidden="1" x14ac:dyDescent="0.15"/>
    <row r="4533" hidden="1" x14ac:dyDescent="0.15"/>
    <row r="4534" hidden="1" x14ac:dyDescent="0.15"/>
    <row r="4535" hidden="1" x14ac:dyDescent="0.15"/>
    <row r="4536" hidden="1" x14ac:dyDescent="0.15"/>
    <row r="4537" hidden="1" x14ac:dyDescent="0.15"/>
    <row r="4538" hidden="1" x14ac:dyDescent="0.15"/>
    <row r="4539" hidden="1" x14ac:dyDescent="0.15"/>
    <row r="4540" hidden="1" x14ac:dyDescent="0.15"/>
    <row r="4541" hidden="1" x14ac:dyDescent="0.15"/>
    <row r="4542" hidden="1" x14ac:dyDescent="0.15"/>
    <row r="4543" hidden="1" x14ac:dyDescent="0.15"/>
    <row r="4544" hidden="1" x14ac:dyDescent="0.15"/>
    <row r="4545" hidden="1" x14ac:dyDescent="0.15"/>
    <row r="4546" hidden="1" x14ac:dyDescent="0.15"/>
    <row r="4547" hidden="1" x14ac:dyDescent="0.15"/>
    <row r="4548" hidden="1" x14ac:dyDescent="0.15"/>
    <row r="4549" hidden="1" x14ac:dyDescent="0.15"/>
    <row r="4550" hidden="1" x14ac:dyDescent="0.15"/>
    <row r="4551" hidden="1" x14ac:dyDescent="0.15"/>
    <row r="4552" hidden="1" x14ac:dyDescent="0.15"/>
    <row r="4553" hidden="1" x14ac:dyDescent="0.15"/>
    <row r="4554" hidden="1" x14ac:dyDescent="0.15"/>
    <row r="4555" hidden="1" x14ac:dyDescent="0.15"/>
    <row r="4556" hidden="1" x14ac:dyDescent="0.15"/>
    <row r="4557" hidden="1" x14ac:dyDescent="0.15"/>
    <row r="4558" hidden="1" x14ac:dyDescent="0.15"/>
    <row r="4559" hidden="1" x14ac:dyDescent="0.15"/>
    <row r="4560" hidden="1" x14ac:dyDescent="0.15"/>
    <row r="4561" hidden="1" x14ac:dyDescent="0.15"/>
    <row r="4562" hidden="1" x14ac:dyDescent="0.15"/>
    <row r="4563" hidden="1" x14ac:dyDescent="0.15"/>
    <row r="4564" hidden="1" x14ac:dyDescent="0.15"/>
    <row r="4565" hidden="1" x14ac:dyDescent="0.15"/>
    <row r="4566" hidden="1" x14ac:dyDescent="0.15"/>
    <row r="4567" hidden="1" x14ac:dyDescent="0.15"/>
    <row r="4568" hidden="1" x14ac:dyDescent="0.15"/>
    <row r="4569" hidden="1" x14ac:dyDescent="0.15"/>
    <row r="4570" hidden="1" x14ac:dyDescent="0.15"/>
    <row r="4571" hidden="1" x14ac:dyDescent="0.15"/>
    <row r="4572" hidden="1" x14ac:dyDescent="0.15"/>
    <row r="4573" hidden="1" x14ac:dyDescent="0.15"/>
    <row r="4574" hidden="1" x14ac:dyDescent="0.15"/>
    <row r="4575" hidden="1" x14ac:dyDescent="0.15"/>
    <row r="4576" hidden="1" x14ac:dyDescent="0.15"/>
    <row r="4577" hidden="1" x14ac:dyDescent="0.15"/>
    <row r="4578" hidden="1" x14ac:dyDescent="0.15"/>
    <row r="4579" hidden="1" x14ac:dyDescent="0.15"/>
    <row r="4580" hidden="1" x14ac:dyDescent="0.15"/>
    <row r="4581" hidden="1" x14ac:dyDescent="0.15"/>
    <row r="4582" hidden="1" x14ac:dyDescent="0.15"/>
    <row r="4583" hidden="1" x14ac:dyDescent="0.15"/>
    <row r="4584" hidden="1" x14ac:dyDescent="0.15"/>
    <row r="4585" hidden="1" x14ac:dyDescent="0.15"/>
    <row r="4586" hidden="1" x14ac:dyDescent="0.15"/>
    <row r="4587" hidden="1" x14ac:dyDescent="0.15"/>
    <row r="4588" hidden="1" x14ac:dyDescent="0.15"/>
    <row r="4589" hidden="1" x14ac:dyDescent="0.15"/>
    <row r="4590" hidden="1" x14ac:dyDescent="0.15"/>
    <row r="4591" hidden="1" x14ac:dyDescent="0.15"/>
    <row r="4592" hidden="1" x14ac:dyDescent="0.15"/>
    <row r="4593" hidden="1" x14ac:dyDescent="0.15"/>
    <row r="4594" hidden="1" x14ac:dyDescent="0.15"/>
    <row r="4595" hidden="1" x14ac:dyDescent="0.15"/>
    <row r="4596" hidden="1" x14ac:dyDescent="0.15"/>
    <row r="4597" hidden="1" x14ac:dyDescent="0.15"/>
    <row r="4598" hidden="1" x14ac:dyDescent="0.15"/>
    <row r="4599" hidden="1" x14ac:dyDescent="0.15"/>
    <row r="4600" hidden="1" x14ac:dyDescent="0.15"/>
    <row r="4601" hidden="1" x14ac:dyDescent="0.15"/>
    <row r="4602" hidden="1" x14ac:dyDescent="0.15"/>
    <row r="4603" hidden="1" x14ac:dyDescent="0.15"/>
    <row r="4604" hidden="1" x14ac:dyDescent="0.15"/>
    <row r="4605" hidden="1" x14ac:dyDescent="0.15"/>
    <row r="4606" hidden="1" x14ac:dyDescent="0.15"/>
    <row r="4607" hidden="1" x14ac:dyDescent="0.15"/>
    <row r="4608" hidden="1" x14ac:dyDescent="0.15"/>
    <row r="4609" hidden="1" x14ac:dyDescent="0.15"/>
    <row r="4610" hidden="1" x14ac:dyDescent="0.15"/>
    <row r="4611" hidden="1" x14ac:dyDescent="0.15"/>
    <row r="4612" hidden="1" x14ac:dyDescent="0.15"/>
    <row r="4613" hidden="1" x14ac:dyDescent="0.15"/>
    <row r="4614" hidden="1" x14ac:dyDescent="0.15"/>
    <row r="4615" hidden="1" x14ac:dyDescent="0.15"/>
    <row r="4616" hidden="1" x14ac:dyDescent="0.15"/>
    <row r="4617" hidden="1" x14ac:dyDescent="0.15"/>
    <row r="4618" hidden="1" x14ac:dyDescent="0.15"/>
    <row r="4619" hidden="1" x14ac:dyDescent="0.15"/>
    <row r="4620" hidden="1" x14ac:dyDescent="0.15"/>
    <row r="4621" hidden="1" x14ac:dyDescent="0.15"/>
    <row r="4622" hidden="1" x14ac:dyDescent="0.15"/>
    <row r="4623" hidden="1" x14ac:dyDescent="0.15"/>
    <row r="4624" hidden="1" x14ac:dyDescent="0.15"/>
    <row r="4625" hidden="1" x14ac:dyDescent="0.15"/>
    <row r="4626" hidden="1" x14ac:dyDescent="0.15"/>
    <row r="4627" hidden="1" x14ac:dyDescent="0.15"/>
    <row r="4628" hidden="1" x14ac:dyDescent="0.15"/>
    <row r="4629" hidden="1" x14ac:dyDescent="0.15"/>
    <row r="4630" hidden="1" x14ac:dyDescent="0.15"/>
    <row r="4631" hidden="1" x14ac:dyDescent="0.15"/>
    <row r="4632" hidden="1" x14ac:dyDescent="0.15"/>
    <row r="4633" hidden="1" x14ac:dyDescent="0.15"/>
    <row r="4634" hidden="1" x14ac:dyDescent="0.15"/>
    <row r="4635" hidden="1" x14ac:dyDescent="0.15"/>
    <row r="4636" hidden="1" x14ac:dyDescent="0.15"/>
    <row r="4637" hidden="1" x14ac:dyDescent="0.15"/>
    <row r="4638" hidden="1" x14ac:dyDescent="0.15"/>
    <row r="4639" hidden="1" x14ac:dyDescent="0.15"/>
    <row r="4640" hidden="1" x14ac:dyDescent="0.15"/>
    <row r="4641" hidden="1" x14ac:dyDescent="0.15"/>
    <row r="4642" hidden="1" x14ac:dyDescent="0.15"/>
    <row r="4643" hidden="1" x14ac:dyDescent="0.15"/>
    <row r="4644" hidden="1" x14ac:dyDescent="0.15"/>
    <row r="4645" hidden="1" x14ac:dyDescent="0.15"/>
    <row r="4646" hidden="1" x14ac:dyDescent="0.15"/>
    <row r="4647" hidden="1" x14ac:dyDescent="0.15"/>
    <row r="4648" hidden="1" x14ac:dyDescent="0.15"/>
    <row r="4649" hidden="1" x14ac:dyDescent="0.15"/>
    <row r="4650" hidden="1" x14ac:dyDescent="0.15"/>
    <row r="4651" hidden="1" x14ac:dyDescent="0.15"/>
    <row r="4652" hidden="1" x14ac:dyDescent="0.15"/>
    <row r="4653" hidden="1" x14ac:dyDescent="0.15"/>
    <row r="4654" hidden="1" x14ac:dyDescent="0.15"/>
    <row r="4655" hidden="1" x14ac:dyDescent="0.15"/>
    <row r="4656" hidden="1" x14ac:dyDescent="0.15"/>
    <row r="4657" hidden="1" x14ac:dyDescent="0.15"/>
    <row r="4658" hidden="1" x14ac:dyDescent="0.15"/>
    <row r="4659" hidden="1" x14ac:dyDescent="0.15"/>
    <row r="4660" hidden="1" x14ac:dyDescent="0.15"/>
    <row r="4661" hidden="1" x14ac:dyDescent="0.15"/>
    <row r="4662" hidden="1" x14ac:dyDescent="0.15"/>
    <row r="4663" hidden="1" x14ac:dyDescent="0.15"/>
    <row r="4664" hidden="1" x14ac:dyDescent="0.15"/>
    <row r="4665" hidden="1" x14ac:dyDescent="0.15"/>
    <row r="4666" hidden="1" x14ac:dyDescent="0.15"/>
    <row r="4667" hidden="1" x14ac:dyDescent="0.15"/>
    <row r="4668" hidden="1" x14ac:dyDescent="0.15"/>
    <row r="4669" hidden="1" x14ac:dyDescent="0.15"/>
    <row r="4670" hidden="1" x14ac:dyDescent="0.15"/>
    <row r="4671" hidden="1" x14ac:dyDescent="0.15"/>
    <row r="4672" hidden="1" x14ac:dyDescent="0.15"/>
    <row r="4673" hidden="1" x14ac:dyDescent="0.15"/>
    <row r="4674" hidden="1" x14ac:dyDescent="0.15"/>
    <row r="4675" hidden="1" x14ac:dyDescent="0.15"/>
    <row r="4676" hidden="1" x14ac:dyDescent="0.15"/>
    <row r="4677" hidden="1" x14ac:dyDescent="0.15"/>
    <row r="4678" hidden="1" x14ac:dyDescent="0.15"/>
    <row r="4679" hidden="1" x14ac:dyDescent="0.15"/>
    <row r="4680" hidden="1" x14ac:dyDescent="0.15"/>
    <row r="4681" hidden="1" x14ac:dyDescent="0.15"/>
    <row r="4682" hidden="1" x14ac:dyDescent="0.15"/>
    <row r="4683" hidden="1" x14ac:dyDescent="0.15"/>
    <row r="4684" hidden="1" x14ac:dyDescent="0.15"/>
    <row r="4685" hidden="1" x14ac:dyDescent="0.15"/>
    <row r="4686" hidden="1" x14ac:dyDescent="0.15"/>
    <row r="4687" hidden="1" x14ac:dyDescent="0.15"/>
    <row r="4688" hidden="1" x14ac:dyDescent="0.15"/>
    <row r="4689" hidden="1" x14ac:dyDescent="0.15"/>
    <row r="4690" hidden="1" x14ac:dyDescent="0.15"/>
    <row r="4691" hidden="1" x14ac:dyDescent="0.15"/>
    <row r="4692" hidden="1" x14ac:dyDescent="0.15"/>
    <row r="4693" hidden="1" x14ac:dyDescent="0.15"/>
    <row r="4694" hidden="1" x14ac:dyDescent="0.15"/>
    <row r="4695" hidden="1" x14ac:dyDescent="0.15"/>
    <row r="4696" hidden="1" x14ac:dyDescent="0.15"/>
    <row r="4697" hidden="1" x14ac:dyDescent="0.15"/>
    <row r="4698" hidden="1" x14ac:dyDescent="0.15"/>
    <row r="4699" hidden="1" x14ac:dyDescent="0.15"/>
    <row r="4700" hidden="1" x14ac:dyDescent="0.15"/>
    <row r="4701" hidden="1" x14ac:dyDescent="0.15"/>
    <row r="4702" hidden="1" x14ac:dyDescent="0.15"/>
    <row r="4703" hidden="1" x14ac:dyDescent="0.15"/>
    <row r="4704" hidden="1" x14ac:dyDescent="0.15"/>
    <row r="4705" hidden="1" x14ac:dyDescent="0.15"/>
    <row r="4706" hidden="1" x14ac:dyDescent="0.15"/>
    <row r="4707" hidden="1" x14ac:dyDescent="0.15"/>
    <row r="4708" hidden="1" x14ac:dyDescent="0.15"/>
    <row r="4709" hidden="1" x14ac:dyDescent="0.15"/>
    <row r="4710" hidden="1" x14ac:dyDescent="0.15"/>
    <row r="4711" hidden="1" x14ac:dyDescent="0.15"/>
    <row r="4712" hidden="1" x14ac:dyDescent="0.15"/>
    <row r="4713" hidden="1" x14ac:dyDescent="0.15"/>
    <row r="4714" hidden="1" x14ac:dyDescent="0.15"/>
    <row r="4715" hidden="1" x14ac:dyDescent="0.15"/>
    <row r="4716" hidden="1" x14ac:dyDescent="0.15"/>
    <row r="4717" hidden="1" x14ac:dyDescent="0.15"/>
    <row r="4718" hidden="1" x14ac:dyDescent="0.15"/>
    <row r="4719" hidden="1" x14ac:dyDescent="0.15"/>
    <row r="4720" hidden="1" x14ac:dyDescent="0.15"/>
    <row r="4721" hidden="1" x14ac:dyDescent="0.15"/>
    <row r="4722" hidden="1" x14ac:dyDescent="0.15"/>
    <row r="4723" hidden="1" x14ac:dyDescent="0.15"/>
    <row r="4724" hidden="1" x14ac:dyDescent="0.15"/>
    <row r="4725" hidden="1" x14ac:dyDescent="0.15"/>
    <row r="4726" hidden="1" x14ac:dyDescent="0.15"/>
    <row r="4727" hidden="1" x14ac:dyDescent="0.15"/>
    <row r="4728" hidden="1" x14ac:dyDescent="0.15"/>
    <row r="4729" hidden="1" x14ac:dyDescent="0.15"/>
    <row r="4730" hidden="1" x14ac:dyDescent="0.15"/>
    <row r="4731" hidden="1" x14ac:dyDescent="0.15"/>
    <row r="4732" hidden="1" x14ac:dyDescent="0.15"/>
    <row r="4733" hidden="1" x14ac:dyDescent="0.15"/>
    <row r="4734" hidden="1" x14ac:dyDescent="0.15"/>
    <row r="4735" hidden="1" x14ac:dyDescent="0.15"/>
    <row r="4736" hidden="1" x14ac:dyDescent="0.15"/>
    <row r="4737" hidden="1" x14ac:dyDescent="0.15"/>
    <row r="4738" hidden="1" x14ac:dyDescent="0.15"/>
    <row r="4739" hidden="1" x14ac:dyDescent="0.15"/>
    <row r="4740" hidden="1" x14ac:dyDescent="0.15"/>
    <row r="4741" hidden="1" x14ac:dyDescent="0.15"/>
    <row r="4742" hidden="1" x14ac:dyDescent="0.15"/>
    <row r="4743" hidden="1" x14ac:dyDescent="0.15"/>
    <row r="4744" hidden="1" x14ac:dyDescent="0.15"/>
    <row r="4745" hidden="1" x14ac:dyDescent="0.15"/>
    <row r="4746" hidden="1" x14ac:dyDescent="0.15"/>
    <row r="4747" hidden="1" x14ac:dyDescent="0.15"/>
    <row r="4748" hidden="1" x14ac:dyDescent="0.15"/>
    <row r="4749" hidden="1" x14ac:dyDescent="0.15"/>
    <row r="4750" hidden="1" x14ac:dyDescent="0.15"/>
    <row r="4751" hidden="1" x14ac:dyDescent="0.15"/>
    <row r="4752" hidden="1" x14ac:dyDescent="0.15"/>
    <row r="4753" hidden="1" x14ac:dyDescent="0.15"/>
    <row r="4754" hidden="1" x14ac:dyDescent="0.15"/>
    <row r="4755" hidden="1" x14ac:dyDescent="0.15"/>
    <row r="4756" hidden="1" x14ac:dyDescent="0.15"/>
    <row r="4757" hidden="1" x14ac:dyDescent="0.15"/>
    <row r="4758" hidden="1" x14ac:dyDescent="0.15"/>
    <row r="4759" hidden="1" x14ac:dyDescent="0.15"/>
    <row r="4760" hidden="1" x14ac:dyDescent="0.15"/>
    <row r="4761" hidden="1" x14ac:dyDescent="0.15"/>
    <row r="4762" hidden="1" x14ac:dyDescent="0.15"/>
    <row r="4763" hidden="1" x14ac:dyDescent="0.15"/>
    <row r="4764" hidden="1" x14ac:dyDescent="0.15"/>
    <row r="4765" hidden="1" x14ac:dyDescent="0.15"/>
    <row r="4766" hidden="1" x14ac:dyDescent="0.15"/>
    <row r="4767" hidden="1" x14ac:dyDescent="0.15"/>
    <row r="4768" hidden="1" x14ac:dyDescent="0.15"/>
    <row r="4769" hidden="1" x14ac:dyDescent="0.15"/>
    <row r="4770" hidden="1" x14ac:dyDescent="0.15"/>
    <row r="4771" hidden="1" x14ac:dyDescent="0.15"/>
    <row r="4772" hidden="1" x14ac:dyDescent="0.15"/>
    <row r="4773" hidden="1" x14ac:dyDescent="0.15"/>
    <row r="4774" hidden="1" x14ac:dyDescent="0.15"/>
    <row r="4775" hidden="1" x14ac:dyDescent="0.15"/>
    <row r="4776" hidden="1" x14ac:dyDescent="0.15"/>
    <row r="4777" hidden="1" x14ac:dyDescent="0.15"/>
    <row r="4778" hidden="1" x14ac:dyDescent="0.15"/>
    <row r="4779" hidden="1" x14ac:dyDescent="0.15"/>
    <row r="4780" hidden="1" x14ac:dyDescent="0.15"/>
    <row r="4781" hidden="1" x14ac:dyDescent="0.15"/>
    <row r="4782" hidden="1" x14ac:dyDescent="0.15"/>
    <row r="4783" hidden="1" x14ac:dyDescent="0.15"/>
    <row r="4784" hidden="1" x14ac:dyDescent="0.15"/>
    <row r="4785" hidden="1" x14ac:dyDescent="0.15"/>
    <row r="4786" hidden="1" x14ac:dyDescent="0.15"/>
    <row r="4787" hidden="1" x14ac:dyDescent="0.15"/>
    <row r="4788" hidden="1" x14ac:dyDescent="0.15"/>
    <row r="4789" hidden="1" x14ac:dyDescent="0.15"/>
    <row r="4790" hidden="1" x14ac:dyDescent="0.15"/>
    <row r="4791" hidden="1" x14ac:dyDescent="0.15"/>
    <row r="4792" hidden="1" x14ac:dyDescent="0.15"/>
    <row r="4793" hidden="1" x14ac:dyDescent="0.15"/>
    <row r="4794" hidden="1" x14ac:dyDescent="0.15"/>
    <row r="4795" hidden="1" x14ac:dyDescent="0.15"/>
    <row r="4796" hidden="1" x14ac:dyDescent="0.15"/>
    <row r="4797" hidden="1" x14ac:dyDescent="0.15"/>
    <row r="4798" hidden="1" x14ac:dyDescent="0.15"/>
    <row r="4799" hidden="1" x14ac:dyDescent="0.15"/>
    <row r="4800" hidden="1" x14ac:dyDescent="0.15"/>
    <row r="4801" hidden="1" x14ac:dyDescent="0.15"/>
    <row r="4802" hidden="1" x14ac:dyDescent="0.15"/>
    <row r="4803" hidden="1" x14ac:dyDescent="0.15"/>
    <row r="4804" hidden="1" x14ac:dyDescent="0.15"/>
    <row r="4805" hidden="1" x14ac:dyDescent="0.15"/>
    <row r="4806" hidden="1" x14ac:dyDescent="0.15"/>
    <row r="4807" hidden="1" x14ac:dyDescent="0.15"/>
    <row r="4808" hidden="1" x14ac:dyDescent="0.15"/>
    <row r="4809" hidden="1" x14ac:dyDescent="0.15"/>
    <row r="4810" hidden="1" x14ac:dyDescent="0.15"/>
    <row r="4811" hidden="1" x14ac:dyDescent="0.15"/>
    <row r="4812" hidden="1" x14ac:dyDescent="0.15"/>
    <row r="4813" hidden="1" x14ac:dyDescent="0.15"/>
    <row r="4814" hidden="1" x14ac:dyDescent="0.15"/>
    <row r="4815" hidden="1" x14ac:dyDescent="0.15"/>
    <row r="4816" hidden="1" x14ac:dyDescent="0.15"/>
    <row r="4817" hidden="1" x14ac:dyDescent="0.15"/>
    <row r="4818" hidden="1" x14ac:dyDescent="0.15"/>
    <row r="4819" hidden="1" x14ac:dyDescent="0.15"/>
    <row r="4820" hidden="1" x14ac:dyDescent="0.15"/>
    <row r="4821" hidden="1" x14ac:dyDescent="0.15"/>
    <row r="4822" hidden="1" x14ac:dyDescent="0.15"/>
    <row r="4823" hidden="1" x14ac:dyDescent="0.15"/>
    <row r="4824" hidden="1" x14ac:dyDescent="0.15"/>
    <row r="4825" hidden="1" x14ac:dyDescent="0.15"/>
    <row r="4826" hidden="1" x14ac:dyDescent="0.15"/>
    <row r="4827" hidden="1" x14ac:dyDescent="0.15"/>
    <row r="4828" hidden="1" x14ac:dyDescent="0.15"/>
    <row r="4829" hidden="1" x14ac:dyDescent="0.15"/>
    <row r="4830" hidden="1" x14ac:dyDescent="0.15"/>
    <row r="4831" hidden="1" x14ac:dyDescent="0.15"/>
    <row r="4832" hidden="1" x14ac:dyDescent="0.15"/>
    <row r="4833" hidden="1" x14ac:dyDescent="0.15"/>
    <row r="4834" hidden="1" x14ac:dyDescent="0.15"/>
    <row r="4835" hidden="1" x14ac:dyDescent="0.15"/>
    <row r="4836" hidden="1" x14ac:dyDescent="0.15"/>
    <row r="4837" hidden="1" x14ac:dyDescent="0.15"/>
    <row r="4838" hidden="1" x14ac:dyDescent="0.15"/>
    <row r="4839" hidden="1" x14ac:dyDescent="0.15"/>
    <row r="4840" hidden="1" x14ac:dyDescent="0.15"/>
    <row r="4841" hidden="1" x14ac:dyDescent="0.15"/>
    <row r="4842" hidden="1" x14ac:dyDescent="0.15"/>
    <row r="4843" hidden="1" x14ac:dyDescent="0.15"/>
    <row r="4844" hidden="1" x14ac:dyDescent="0.15"/>
    <row r="4845" hidden="1" x14ac:dyDescent="0.15"/>
    <row r="4846" hidden="1" x14ac:dyDescent="0.15"/>
    <row r="4847" hidden="1" x14ac:dyDescent="0.15"/>
    <row r="4848" hidden="1" x14ac:dyDescent="0.15"/>
    <row r="4849" hidden="1" x14ac:dyDescent="0.15"/>
    <row r="4850" hidden="1" x14ac:dyDescent="0.15"/>
    <row r="4851" hidden="1" x14ac:dyDescent="0.15"/>
    <row r="4852" hidden="1" x14ac:dyDescent="0.15"/>
    <row r="4853" hidden="1" x14ac:dyDescent="0.15"/>
    <row r="4854" hidden="1" x14ac:dyDescent="0.15"/>
    <row r="4855" hidden="1" x14ac:dyDescent="0.15"/>
    <row r="4856" hidden="1" x14ac:dyDescent="0.15"/>
    <row r="4857" hidden="1" x14ac:dyDescent="0.15"/>
    <row r="4858" hidden="1" x14ac:dyDescent="0.15"/>
    <row r="4859" hidden="1" x14ac:dyDescent="0.15"/>
    <row r="4860" hidden="1" x14ac:dyDescent="0.15"/>
    <row r="4861" hidden="1" x14ac:dyDescent="0.15"/>
    <row r="4862" hidden="1" x14ac:dyDescent="0.15"/>
    <row r="4863" hidden="1" x14ac:dyDescent="0.15"/>
    <row r="4864" hidden="1" x14ac:dyDescent="0.15"/>
    <row r="4865" hidden="1" x14ac:dyDescent="0.15"/>
    <row r="4866" hidden="1" x14ac:dyDescent="0.15"/>
    <row r="4867" hidden="1" x14ac:dyDescent="0.15"/>
    <row r="4868" hidden="1" x14ac:dyDescent="0.15"/>
    <row r="4869" hidden="1" x14ac:dyDescent="0.15"/>
    <row r="4870" hidden="1" x14ac:dyDescent="0.15"/>
    <row r="4871" hidden="1" x14ac:dyDescent="0.15"/>
    <row r="4872" hidden="1" x14ac:dyDescent="0.15"/>
    <row r="4873" hidden="1" x14ac:dyDescent="0.15"/>
    <row r="4874" hidden="1" x14ac:dyDescent="0.15"/>
    <row r="4875" hidden="1" x14ac:dyDescent="0.15"/>
    <row r="4876" hidden="1" x14ac:dyDescent="0.15"/>
    <row r="4877" hidden="1" x14ac:dyDescent="0.15"/>
    <row r="4878" hidden="1" x14ac:dyDescent="0.15"/>
    <row r="4879" hidden="1" x14ac:dyDescent="0.15"/>
    <row r="4880" hidden="1" x14ac:dyDescent="0.15"/>
    <row r="4881" hidden="1" x14ac:dyDescent="0.15"/>
    <row r="4882" hidden="1" x14ac:dyDescent="0.15"/>
    <row r="4883" hidden="1" x14ac:dyDescent="0.15"/>
    <row r="4884" hidden="1" x14ac:dyDescent="0.15"/>
    <row r="4885" hidden="1" x14ac:dyDescent="0.15"/>
    <row r="4886" hidden="1" x14ac:dyDescent="0.15"/>
    <row r="4887" hidden="1" x14ac:dyDescent="0.15"/>
    <row r="4888" hidden="1" x14ac:dyDescent="0.15"/>
    <row r="4889" hidden="1" x14ac:dyDescent="0.15"/>
    <row r="4890" hidden="1" x14ac:dyDescent="0.15"/>
    <row r="4891" hidden="1" x14ac:dyDescent="0.15"/>
    <row r="4892" hidden="1" x14ac:dyDescent="0.15"/>
    <row r="4893" hidden="1" x14ac:dyDescent="0.15"/>
    <row r="4894" hidden="1" x14ac:dyDescent="0.15"/>
    <row r="4895" hidden="1" x14ac:dyDescent="0.15"/>
    <row r="4896" hidden="1" x14ac:dyDescent="0.15"/>
    <row r="4897" hidden="1" x14ac:dyDescent="0.15"/>
    <row r="4898" hidden="1" x14ac:dyDescent="0.15"/>
    <row r="4899" hidden="1" x14ac:dyDescent="0.15"/>
    <row r="4900" hidden="1" x14ac:dyDescent="0.15"/>
    <row r="4901" hidden="1" x14ac:dyDescent="0.15"/>
    <row r="4902" hidden="1" x14ac:dyDescent="0.15"/>
    <row r="4903" hidden="1" x14ac:dyDescent="0.15"/>
    <row r="4904" hidden="1" x14ac:dyDescent="0.15"/>
    <row r="4905" hidden="1" x14ac:dyDescent="0.15"/>
    <row r="4906" hidden="1" x14ac:dyDescent="0.15"/>
    <row r="4907" hidden="1" x14ac:dyDescent="0.15"/>
    <row r="4908" hidden="1" x14ac:dyDescent="0.15"/>
    <row r="4909" hidden="1" x14ac:dyDescent="0.15"/>
    <row r="4910" hidden="1" x14ac:dyDescent="0.15"/>
    <row r="4911" hidden="1" x14ac:dyDescent="0.15"/>
    <row r="4912" hidden="1" x14ac:dyDescent="0.15"/>
    <row r="4913" hidden="1" x14ac:dyDescent="0.15"/>
    <row r="4914" hidden="1" x14ac:dyDescent="0.15"/>
    <row r="4915" hidden="1" x14ac:dyDescent="0.15"/>
    <row r="4916" hidden="1" x14ac:dyDescent="0.15"/>
    <row r="4917" hidden="1" x14ac:dyDescent="0.15"/>
    <row r="4918" hidden="1" x14ac:dyDescent="0.15"/>
    <row r="4919" hidden="1" x14ac:dyDescent="0.15"/>
    <row r="4920" hidden="1" x14ac:dyDescent="0.15"/>
    <row r="4921" hidden="1" x14ac:dyDescent="0.15"/>
    <row r="4922" hidden="1" x14ac:dyDescent="0.15"/>
    <row r="4923" hidden="1" x14ac:dyDescent="0.15"/>
    <row r="4924" hidden="1" x14ac:dyDescent="0.15"/>
    <row r="4925" hidden="1" x14ac:dyDescent="0.15"/>
    <row r="4926" hidden="1" x14ac:dyDescent="0.15"/>
    <row r="4927" hidden="1" x14ac:dyDescent="0.15"/>
    <row r="4928" hidden="1" x14ac:dyDescent="0.15"/>
    <row r="4929" hidden="1" x14ac:dyDescent="0.15"/>
    <row r="4930" hidden="1" x14ac:dyDescent="0.15"/>
    <row r="4931" hidden="1" x14ac:dyDescent="0.15"/>
    <row r="4932" hidden="1" x14ac:dyDescent="0.15"/>
    <row r="4933" hidden="1" x14ac:dyDescent="0.15"/>
    <row r="4934" hidden="1" x14ac:dyDescent="0.15"/>
    <row r="4935" hidden="1" x14ac:dyDescent="0.15"/>
    <row r="4936" hidden="1" x14ac:dyDescent="0.15"/>
    <row r="4937" hidden="1" x14ac:dyDescent="0.15"/>
    <row r="4938" hidden="1" x14ac:dyDescent="0.15"/>
    <row r="4939" hidden="1" x14ac:dyDescent="0.15"/>
    <row r="4940" hidden="1" x14ac:dyDescent="0.15"/>
    <row r="4941" hidden="1" x14ac:dyDescent="0.15"/>
    <row r="4942" hidden="1" x14ac:dyDescent="0.15"/>
    <row r="4943" hidden="1" x14ac:dyDescent="0.15"/>
    <row r="4944" hidden="1" x14ac:dyDescent="0.15"/>
    <row r="4945" hidden="1" x14ac:dyDescent="0.15"/>
    <row r="4946" hidden="1" x14ac:dyDescent="0.15"/>
    <row r="4947" hidden="1" x14ac:dyDescent="0.15"/>
    <row r="4948" hidden="1" x14ac:dyDescent="0.15"/>
    <row r="4949" hidden="1" x14ac:dyDescent="0.15"/>
    <row r="4950" hidden="1" x14ac:dyDescent="0.15"/>
    <row r="4951" hidden="1" x14ac:dyDescent="0.15"/>
    <row r="4952" hidden="1" x14ac:dyDescent="0.15"/>
    <row r="4953" hidden="1" x14ac:dyDescent="0.15"/>
    <row r="4954" hidden="1" x14ac:dyDescent="0.15"/>
    <row r="4955" hidden="1" x14ac:dyDescent="0.15"/>
    <row r="4956" hidden="1" x14ac:dyDescent="0.15"/>
    <row r="4957" hidden="1" x14ac:dyDescent="0.15"/>
    <row r="4958" hidden="1" x14ac:dyDescent="0.15"/>
    <row r="4959" hidden="1" x14ac:dyDescent="0.15"/>
    <row r="4960" hidden="1" x14ac:dyDescent="0.15"/>
    <row r="4961" hidden="1" x14ac:dyDescent="0.15"/>
    <row r="4962" hidden="1" x14ac:dyDescent="0.15"/>
    <row r="4963" hidden="1" x14ac:dyDescent="0.15"/>
    <row r="4964" hidden="1" x14ac:dyDescent="0.15"/>
    <row r="4965" hidden="1" x14ac:dyDescent="0.15"/>
    <row r="4966" hidden="1" x14ac:dyDescent="0.15"/>
    <row r="4967" hidden="1" x14ac:dyDescent="0.15"/>
    <row r="4968" hidden="1" x14ac:dyDescent="0.15"/>
    <row r="4969" hidden="1" x14ac:dyDescent="0.15"/>
    <row r="4970" hidden="1" x14ac:dyDescent="0.15"/>
    <row r="4971" hidden="1" x14ac:dyDescent="0.15"/>
    <row r="4972" hidden="1" x14ac:dyDescent="0.15"/>
    <row r="4973" hidden="1" x14ac:dyDescent="0.15"/>
    <row r="4974" hidden="1" x14ac:dyDescent="0.15"/>
    <row r="4975" hidden="1" x14ac:dyDescent="0.15"/>
    <row r="4976" hidden="1" x14ac:dyDescent="0.15"/>
    <row r="4977" hidden="1" x14ac:dyDescent="0.15"/>
    <row r="4978" hidden="1" x14ac:dyDescent="0.15"/>
    <row r="4979" hidden="1" x14ac:dyDescent="0.15"/>
    <row r="4980" hidden="1" x14ac:dyDescent="0.15"/>
    <row r="4981" hidden="1" x14ac:dyDescent="0.15"/>
    <row r="4982" hidden="1" x14ac:dyDescent="0.15"/>
    <row r="4983" hidden="1" x14ac:dyDescent="0.15"/>
    <row r="4984" hidden="1" x14ac:dyDescent="0.15"/>
    <row r="4985" hidden="1" x14ac:dyDescent="0.15"/>
    <row r="4986" hidden="1" x14ac:dyDescent="0.15"/>
    <row r="4987" hidden="1" x14ac:dyDescent="0.15"/>
    <row r="4988" hidden="1" x14ac:dyDescent="0.15"/>
    <row r="4989" hidden="1" x14ac:dyDescent="0.15"/>
    <row r="4990" hidden="1" x14ac:dyDescent="0.15"/>
    <row r="4991" hidden="1" x14ac:dyDescent="0.15"/>
    <row r="4992" hidden="1" x14ac:dyDescent="0.15"/>
    <row r="4993" hidden="1" x14ac:dyDescent="0.15"/>
    <row r="4994" hidden="1" x14ac:dyDescent="0.15"/>
    <row r="4995" hidden="1" x14ac:dyDescent="0.15"/>
    <row r="4996" hidden="1" x14ac:dyDescent="0.15"/>
    <row r="4997" hidden="1" x14ac:dyDescent="0.15"/>
    <row r="4998" hidden="1" x14ac:dyDescent="0.15"/>
    <row r="4999" hidden="1" x14ac:dyDescent="0.15"/>
    <row r="5000" hidden="1" x14ac:dyDescent="0.15"/>
    <row r="5001" hidden="1" x14ac:dyDescent="0.15"/>
    <row r="5002" hidden="1" x14ac:dyDescent="0.15"/>
    <row r="5003" hidden="1" x14ac:dyDescent="0.15"/>
    <row r="5004" hidden="1" x14ac:dyDescent="0.15"/>
    <row r="5005" hidden="1" x14ac:dyDescent="0.15"/>
    <row r="5006" hidden="1" x14ac:dyDescent="0.15"/>
    <row r="5007" hidden="1" x14ac:dyDescent="0.15"/>
    <row r="5008" hidden="1" x14ac:dyDescent="0.15"/>
    <row r="5009" hidden="1" x14ac:dyDescent="0.15"/>
    <row r="5010" hidden="1" x14ac:dyDescent="0.15"/>
    <row r="5011" hidden="1" x14ac:dyDescent="0.15"/>
    <row r="5012" hidden="1" x14ac:dyDescent="0.15"/>
    <row r="5013" hidden="1" x14ac:dyDescent="0.15"/>
    <row r="5014" hidden="1" x14ac:dyDescent="0.15"/>
    <row r="5015" hidden="1" x14ac:dyDescent="0.15"/>
    <row r="5016" hidden="1" x14ac:dyDescent="0.15"/>
    <row r="5017" hidden="1" x14ac:dyDescent="0.15"/>
    <row r="5018" hidden="1" x14ac:dyDescent="0.15"/>
    <row r="5019" hidden="1" x14ac:dyDescent="0.15"/>
    <row r="5020" hidden="1" x14ac:dyDescent="0.15"/>
    <row r="5021" hidden="1" x14ac:dyDescent="0.15"/>
    <row r="5022" hidden="1" x14ac:dyDescent="0.15"/>
    <row r="5023" hidden="1" x14ac:dyDescent="0.15"/>
    <row r="5024" hidden="1" x14ac:dyDescent="0.15"/>
    <row r="5025" hidden="1" x14ac:dyDescent="0.15"/>
    <row r="5026" hidden="1" x14ac:dyDescent="0.15"/>
    <row r="5027" hidden="1" x14ac:dyDescent="0.15"/>
    <row r="5028" hidden="1" x14ac:dyDescent="0.15"/>
    <row r="5029" hidden="1" x14ac:dyDescent="0.15"/>
    <row r="5030" hidden="1" x14ac:dyDescent="0.15"/>
    <row r="5031" hidden="1" x14ac:dyDescent="0.15"/>
    <row r="5032" hidden="1" x14ac:dyDescent="0.15"/>
    <row r="5033" hidden="1" x14ac:dyDescent="0.15"/>
    <row r="5034" hidden="1" x14ac:dyDescent="0.15"/>
    <row r="5035" hidden="1" x14ac:dyDescent="0.15"/>
    <row r="5036" hidden="1" x14ac:dyDescent="0.15"/>
    <row r="5037" hidden="1" x14ac:dyDescent="0.15"/>
    <row r="5038" hidden="1" x14ac:dyDescent="0.15"/>
    <row r="5039" hidden="1" x14ac:dyDescent="0.15"/>
    <row r="5040" hidden="1" x14ac:dyDescent="0.15"/>
    <row r="5041" hidden="1" x14ac:dyDescent="0.15"/>
    <row r="5042" hidden="1" x14ac:dyDescent="0.15"/>
    <row r="5043" hidden="1" x14ac:dyDescent="0.15"/>
    <row r="5044" hidden="1" x14ac:dyDescent="0.15"/>
    <row r="5045" hidden="1" x14ac:dyDescent="0.15"/>
    <row r="5046" hidden="1" x14ac:dyDescent="0.15"/>
    <row r="5047" hidden="1" x14ac:dyDescent="0.15"/>
    <row r="5048" hidden="1" x14ac:dyDescent="0.15"/>
    <row r="5049" hidden="1" x14ac:dyDescent="0.15"/>
    <row r="5050" hidden="1" x14ac:dyDescent="0.15"/>
    <row r="5051" hidden="1" x14ac:dyDescent="0.15"/>
    <row r="5052" hidden="1" x14ac:dyDescent="0.15"/>
    <row r="5053" hidden="1" x14ac:dyDescent="0.15"/>
    <row r="5054" hidden="1" x14ac:dyDescent="0.15"/>
    <row r="5055" hidden="1" x14ac:dyDescent="0.15"/>
    <row r="5056" hidden="1" x14ac:dyDescent="0.15"/>
    <row r="5057" hidden="1" x14ac:dyDescent="0.15"/>
    <row r="5058" hidden="1" x14ac:dyDescent="0.15"/>
    <row r="5059" hidden="1" x14ac:dyDescent="0.15"/>
    <row r="5060" hidden="1" x14ac:dyDescent="0.15"/>
    <row r="5061" hidden="1" x14ac:dyDescent="0.15"/>
    <row r="5062" hidden="1" x14ac:dyDescent="0.15"/>
    <row r="5063" hidden="1" x14ac:dyDescent="0.15"/>
    <row r="5064" hidden="1" x14ac:dyDescent="0.15"/>
    <row r="5065" hidden="1" x14ac:dyDescent="0.15"/>
    <row r="5066" hidden="1" x14ac:dyDescent="0.15"/>
    <row r="5067" hidden="1" x14ac:dyDescent="0.15"/>
    <row r="5068" hidden="1" x14ac:dyDescent="0.15"/>
    <row r="5069" hidden="1" x14ac:dyDescent="0.15"/>
    <row r="5070" hidden="1" x14ac:dyDescent="0.15"/>
    <row r="5071" hidden="1" x14ac:dyDescent="0.15"/>
    <row r="5072" hidden="1" x14ac:dyDescent="0.15"/>
    <row r="5073" hidden="1" x14ac:dyDescent="0.15"/>
    <row r="5074" hidden="1" x14ac:dyDescent="0.15"/>
    <row r="5075" hidden="1" x14ac:dyDescent="0.15"/>
    <row r="5076" hidden="1" x14ac:dyDescent="0.15"/>
    <row r="5077" hidden="1" x14ac:dyDescent="0.15"/>
    <row r="5078" hidden="1" x14ac:dyDescent="0.15"/>
    <row r="5079" hidden="1" x14ac:dyDescent="0.15"/>
    <row r="5080" hidden="1" x14ac:dyDescent="0.15"/>
    <row r="5081" hidden="1" x14ac:dyDescent="0.15"/>
    <row r="5082" hidden="1" x14ac:dyDescent="0.15"/>
    <row r="5083" hidden="1" x14ac:dyDescent="0.15"/>
    <row r="5084" hidden="1" x14ac:dyDescent="0.15"/>
    <row r="5085" hidden="1" x14ac:dyDescent="0.15"/>
    <row r="5086" hidden="1" x14ac:dyDescent="0.15"/>
    <row r="5087" hidden="1" x14ac:dyDescent="0.15"/>
    <row r="5088" hidden="1" x14ac:dyDescent="0.15"/>
    <row r="5089" hidden="1" x14ac:dyDescent="0.15"/>
    <row r="5090" hidden="1" x14ac:dyDescent="0.15"/>
    <row r="5091" hidden="1" x14ac:dyDescent="0.15"/>
    <row r="5092" hidden="1" x14ac:dyDescent="0.15"/>
    <row r="5093" hidden="1" x14ac:dyDescent="0.15"/>
    <row r="5094" hidden="1" x14ac:dyDescent="0.15"/>
    <row r="5095" hidden="1" x14ac:dyDescent="0.15"/>
    <row r="5096" hidden="1" x14ac:dyDescent="0.15"/>
    <row r="5097" hidden="1" x14ac:dyDescent="0.15"/>
    <row r="5098" hidden="1" x14ac:dyDescent="0.15"/>
    <row r="5099" hidden="1" x14ac:dyDescent="0.15"/>
    <row r="5100" hidden="1" x14ac:dyDescent="0.15"/>
    <row r="5101" hidden="1" x14ac:dyDescent="0.15"/>
    <row r="5102" hidden="1" x14ac:dyDescent="0.15"/>
    <row r="5103" hidden="1" x14ac:dyDescent="0.15"/>
    <row r="5104" hidden="1" x14ac:dyDescent="0.15"/>
    <row r="5105" hidden="1" x14ac:dyDescent="0.15"/>
    <row r="5106" hidden="1" x14ac:dyDescent="0.15"/>
    <row r="5107" hidden="1" x14ac:dyDescent="0.15"/>
    <row r="5108" hidden="1" x14ac:dyDescent="0.15"/>
    <row r="5109" hidden="1" x14ac:dyDescent="0.15"/>
    <row r="5110" hidden="1" x14ac:dyDescent="0.15"/>
    <row r="5111" hidden="1" x14ac:dyDescent="0.15"/>
    <row r="5112" hidden="1" x14ac:dyDescent="0.15"/>
    <row r="5113" hidden="1" x14ac:dyDescent="0.15"/>
    <row r="5114" hidden="1" x14ac:dyDescent="0.15"/>
    <row r="5115" hidden="1" x14ac:dyDescent="0.15"/>
    <row r="5116" hidden="1" x14ac:dyDescent="0.15"/>
    <row r="5117" hidden="1" x14ac:dyDescent="0.15"/>
    <row r="5118" hidden="1" x14ac:dyDescent="0.15"/>
    <row r="5119" hidden="1" x14ac:dyDescent="0.15"/>
    <row r="5120" hidden="1" x14ac:dyDescent="0.15"/>
    <row r="5121" hidden="1" x14ac:dyDescent="0.15"/>
    <row r="5122" hidden="1" x14ac:dyDescent="0.15"/>
    <row r="5123" hidden="1" x14ac:dyDescent="0.15"/>
    <row r="5124" hidden="1" x14ac:dyDescent="0.15"/>
    <row r="5125" hidden="1" x14ac:dyDescent="0.15"/>
    <row r="5126" hidden="1" x14ac:dyDescent="0.15"/>
    <row r="5127" hidden="1" x14ac:dyDescent="0.15"/>
    <row r="5128" hidden="1" x14ac:dyDescent="0.15"/>
    <row r="5129" hidden="1" x14ac:dyDescent="0.15"/>
    <row r="5130" hidden="1" x14ac:dyDescent="0.15"/>
    <row r="5131" hidden="1" x14ac:dyDescent="0.15"/>
    <row r="5132" hidden="1" x14ac:dyDescent="0.15"/>
    <row r="5133" hidden="1" x14ac:dyDescent="0.15"/>
    <row r="5134" hidden="1" x14ac:dyDescent="0.15"/>
    <row r="5135" hidden="1" x14ac:dyDescent="0.15"/>
    <row r="5136" hidden="1" x14ac:dyDescent="0.15"/>
    <row r="5137" hidden="1" x14ac:dyDescent="0.15"/>
    <row r="5138" hidden="1" x14ac:dyDescent="0.15"/>
    <row r="5139" hidden="1" x14ac:dyDescent="0.15"/>
    <row r="5140" hidden="1" x14ac:dyDescent="0.15"/>
    <row r="5141" hidden="1" x14ac:dyDescent="0.15"/>
    <row r="5142" hidden="1" x14ac:dyDescent="0.15"/>
    <row r="5143" hidden="1" x14ac:dyDescent="0.15"/>
    <row r="5144" hidden="1" x14ac:dyDescent="0.15"/>
    <row r="5145" hidden="1" x14ac:dyDescent="0.15"/>
    <row r="5146" hidden="1" x14ac:dyDescent="0.15"/>
    <row r="5147" hidden="1" x14ac:dyDescent="0.15"/>
    <row r="5148" hidden="1" x14ac:dyDescent="0.15"/>
    <row r="5149" hidden="1" x14ac:dyDescent="0.15"/>
    <row r="5150" hidden="1" x14ac:dyDescent="0.15"/>
    <row r="5151" hidden="1" x14ac:dyDescent="0.15"/>
    <row r="5152" hidden="1" x14ac:dyDescent="0.15"/>
    <row r="5153" hidden="1" x14ac:dyDescent="0.15"/>
    <row r="5154" hidden="1" x14ac:dyDescent="0.15"/>
    <row r="5155" hidden="1" x14ac:dyDescent="0.15"/>
    <row r="5156" hidden="1" x14ac:dyDescent="0.15"/>
    <row r="5157" hidden="1" x14ac:dyDescent="0.15"/>
    <row r="5158" hidden="1" x14ac:dyDescent="0.15"/>
    <row r="5159" hidden="1" x14ac:dyDescent="0.15"/>
    <row r="5160" hidden="1" x14ac:dyDescent="0.15"/>
    <row r="5161" hidden="1" x14ac:dyDescent="0.15"/>
    <row r="5162" hidden="1" x14ac:dyDescent="0.15"/>
    <row r="5163" hidden="1" x14ac:dyDescent="0.15"/>
    <row r="5164" hidden="1" x14ac:dyDescent="0.15"/>
    <row r="5165" hidden="1" x14ac:dyDescent="0.15"/>
    <row r="5166" hidden="1" x14ac:dyDescent="0.15"/>
    <row r="5167" hidden="1" x14ac:dyDescent="0.15"/>
    <row r="5168" hidden="1" x14ac:dyDescent="0.15"/>
    <row r="5169" hidden="1" x14ac:dyDescent="0.15"/>
    <row r="5170" hidden="1" x14ac:dyDescent="0.15"/>
    <row r="5171" hidden="1" x14ac:dyDescent="0.15"/>
    <row r="5172" hidden="1" x14ac:dyDescent="0.15"/>
    <row r="5173" hidden="1" x14ac:dyDescent="0.15"/>
    <row r="5174" hidden="1" x14ac:dyDescent="0.15"/>
    <row r="5175" hidden="1" x14ac:dyDescent="0.15"/>
    <row r="5176" hidden="1" x14ac:dyDescent="0.15"/>
    <row r="5177" hidden="1" x14ac:dyDescent="0.15"/>
    <row r="5178" hidden="1" x14ac:dyDescent="0.15"/>
    <row r="5179" hidden="1" x14ac:dyDescent="0.15"/>
    <row r="5180" hidden="1" x14ac:dyDescent="0.15"/>
    <row r="5181" hidden="1" x14ac:dyDescent="0.15"/>
    <row r="5182" hidden="1" x14ac:dyDescent="0.15"/>
    <row r="5183" hidden="1" x14ac:dyDescent="0.15"/>
    <row r="5184" hidden="1" x14ac:dyDescent="0.15"/>
    <row r="5185" hidden="1" x14ac:dyDescent="0.15"/>
    <row r="5186" hidden="1" x14ac:dyDescent="0.15"/>
    <row r="5187" hidden="1" x14ac:dyDescent="0.15"/>
    <row r="5188" hidden="1" x14ac:dyDescent="0.15"/>
    <row r="5189" hidden="1" x14ac:dyDescent="0.15"/>
    <row r="5190" hidden="1" x14ac:dyDescent="0.15"/>
    <row r="5191" hidden="1" x14ac:dyDescent="0.15"/>
    <row r="5192" hidden="1" x14ac:dyDescent="0.15"/>
    <row r="5193" hidden="1" x14ac:dyDescent="0.15"/>
    <row r="5194" hidden="1" x14ac:dyDescent="0.15"/>
    <row r="5195" hidden="1" x14ac:dyDescent="0.15"/>
    <row r="5196" hidden="1" x14ac:dyDescent="0.15"/>
    <row r="5197" hidden="1" x14ac:dyDescent="0.15"/>
    <row r="5198" hidden="1" x14ac:dyDescent="0.15"/>
    <row r="5199" hidden="1" x14ac:dyDescent="0.15"/>
    <row r="5200" hidden="1" x14ac:dyDescent="0.15"/>
    <row r="5201" hidden="1" x14ac:dyDescent="0.15"/>
    <row r="5202" hidden="1" x14ac:dyDescent="0.15"/>
    <row r="5203" hidden="1" x14ac:dyDescent="0.15"/>
    <row r="5204" hidden="1" x14ac:dyDescent="0.15"/>
    <row r="5205" hidden="1" x14ac:dyDescent="0.15"/>
    <row r="5206" hidden="1" x14ac:dyDescent="0.15"/>
    <row r="5207" hidden="1" x14ac:dyDescent="0.15"/>
    <row r="5208" hidden="1" x14ac:dyDescent="0.15"/>
    <row r="5209" hidden="1" x14ac:dyDescent="0.15"/>
    <row r="5210" hidden="1" x14ac:dyDescent="0.15"/>
    <row r="5211" hidden="1" x14ac:dyDescent="0.15"/>
    <row r="5212" hidden="1" x14ac:dyDescent="0.15"/>
    <row r="5213" hidden="1" x14ac:dyDescent="0.15"/>
    <row r="5214" hidden="1" x14ac:dyDescent="0.15"/>
    <row r="5215" hidden="1" x14ac:dyDescent="0.15"/>
    <row r="5216" hidden="1" x14ac:dyDescent="0.15"/>
    <row r="5217" hidden="1" x14ac:dyDescent="0.15"/>
    <row r="5218" hidden="1" x14ac:dyDescent="0.15"/>
    <row r="5219" hidden="1" x14ac:dyDescent="0.15"/>
    <row r="5220" hidden="1" x14ac:dyDescent="0.15"/>
    <row r="5221" hidden="1" x14ac:dyDescent="0.15"/>
    <row r="5222" hidden="1" x14ac:dyDescent="0.15"/>
    <row r="5223" hidden="1" x14ac:dyDescent="0.15"/>
    <row r="5224" hidden="1" x14ac:dyDescent="0.15"/>
    <row r="5225" hidden="1" x14ac:dyDescent="0.15"/>
    <row r="5226" hidden="1" x14ac:dyDescent="0.15"/>
    <row r="5227" hidden="1" x14ac:dyDescent="0.15"/>
    <row r="5228" hidden="1" x14ac:dyDescent="0.15"/>
    <row r="5229" hidden="1" x14ac:dyDescent="0.15"/>
    <row r="5230" hidden="1" x14ac:dyDescent="0.15"/>
    <row r="5231" hidden="1" x14ac:dyDescent="0.15"/>
    <row r="5232" hidden="1" x14ac:dyDescent="0.15"/>
    <row r="5233" hidden="1" x14ac:dyDescent="0.15"/>
    <row r="5234" hidden="1" x14ac:dyDescent="0.15"/>
    <row r="5235" hidden="1" x14ac:dyDescent="0.15"/>
    <row r="5236" hidden="1" x14ac:dyDescent="0.15"/>
    <row r="5237" hidden="1" x14ac:dyDescent="0.15"/>
    <row r="5238" hidden="1" x14ac:dyDescent="0.15"/>
    <row r="5239" hidden="1" x14ac:dyDescent="0.15"/>
    <row r="5240" hidden="1" x14ac:dyDescent="0.15"/>
    <row r="5241" hidden="1" x14ac:dyDescent="0.15"/>
    <row r="5242" hidden="1" x14ac:dyDescent="0.15"/>
    <row r="5243" hidden="1" x14ac:dyDescent="0.15"/>
    <row r="5244" hidden="1" x14ac:dyDescent="0.15"/>
    <row r="5245" hidden="1" x14ac:dyDescent="0.15"/>
    <row r="5246" hidden="1" x14ac:dyDescent="0.15"/>
    <row r="5247" hidden="1" x14ac:dyDescent="0.15"/>
    <row r="5248" hidden="1" x14ac:dyDescent="0.15"/>
    <row r="5249" hidden="1" x14ac:dyDescent="0.15"/>
    <row r="5250" hidden="1" x14ac:dyDescent="0.15"/>
    <row r="5251" hidden="1" x14ac:dyDescent="0.15"/>
    <row r="5252" hidden="1" x14ac:dyDescent="0.15"/>
    <row r="5253" hidden="1" x14ac:dyDescent="0.15"/>
    <row r="5254" hidden="1" x14ac:dyDescent="0.15"/>
    <row r="5255" hidden="1" x14ac:dyDescent="0.15"/>
    <row r="5256" hidden="1" x14ac:dyDescent="0.15"/>
    <row r="5257" hidden="1" x14ac:dyDescent="0.15"/>
    <row r="5258" hidden="1" x14ac:dyDescent="0.15"/>
    <row r="5259" hidden="1" x14ac:dyDescent="0.15"/>
    <row r="5260" hidden="1" x14ac:dyDescent="0.15"/>
    <row r="5261" hidden="1" x14ac:dyDescent="0.15"/>
    <row r="5262" hidden="1" x14ac:dyDescent="0.15"/>
    <row r="5263" hidden="1" x14ac:dyDescent="0.15"/>
    <row r="5264" hidden="1" x14ac:dyDescent="0.15"/>
    <row r="5265" hidden="1" x14ac:dyDescent="0.15"/>
    <row r="5266" hidden="1" x14ac:dyDescent="0.15"/>
    <row r="5267" hidden="1" x14ac:dyDescent="0.15"/>
    <row r="5268" hidden="1" x14ac:dyDescent="0.15"/>
    <row r="5269" hidden="1" x14ac:dyDescent="0.15"/>
    <row r="5270" hidden="1" x14ac:dyDescent="0.15"/>
    <row r="5271" hidden="1" x14ac:dyDescent="0.15"/>
    <row r="5272" hidden="1" x14ac:dyDescent="0.15"/>
    <row r="5273" hidden="1" x14ac:dyDescent="0.15"/>
    <row r="5274" hidden="1" x14ac:dyDescent="0.15"/>
    <row r="5275" hidden="1" x14ac:dyDescent="0.15"/>
    <row r="5276" hidden="1" x14ac:dyDescent="0.15"/>
    <row r="5277" hidden="1" x14ac:dyDescent="0.15"/>
    <row r="5278" hidden="1" x14ac:dyDescent="0.15"/>
    <row r="5279" hidden="1" x14ac:dyDescent="0.15"/>
    <row r="5280" hidden="1" x14ac:dyDescent="0.15"/>
    <row r="5281" hidden="1" x14ac:dyDescent="0.15"/>
    <row r="5282" hidden="1" x14ac:dyDescent="0.15"/>
    <row r="5283" hidden="1" x14ac:dyDescent="0.15"/>
    <row r="5284" hidden="1" x14ac:dyDescent="0.15"/>
    <row r="5285" hidden="1" x14ac:dyDescent="0.15"/>
    <row r="5286" hidden="1" x14ac:dyDescent="0.15"/>
    <row r="5287" hidden="1" x14ac:dyDescent="0.15"/>
    <row r="5288" hidden="1" x14ac:dyDescent="0.15"/>
    <row r="5289" hidden="1" x14ac:dyDescent="0.15"/>
    <row r="5290" hidden="1" x14ac:dyDescent="0.15"/>
    <row r="5291" hidden="1" x14ac:dyDescent="0.15"/>
    <row r="5292" hidden="1" x14ac:dyDescent="0.15"/>
    <row r="5293" hidden="1" x14ac:dyDescent="0.15"/>
    <row r="5294" hidden="1" x14ac:dyDescent="0.15"/>
    <row r="5295" hidden="1" x14ac:dyDescent="0.15"/>
    <row r="5296" hidden="1" x14ac:dyDescent="0.15"/>
    <row r="5297" hidden="1" x14ac:dyDescent="0.15"/>
    <row r="5298" hidden="1" x14ac:dyDescent="0.15"/>
    <row r="5299" hidden="1" x14ac:dyDescent="0.15"/>
    <row r="5300" hidden="1" x14ac:dyDescent="0.15"/>
    <row r="5301" hidden="1" x14ac:dyDescent="0.15"/>
    <row r="5302" hidden="1" x14ac:dyDescent="0.15"/>
    <row r="5303" hidden="1" x14ac:dyDescent="0.15"/>
    <row r="5304" hidden="1" x14ac:dyDescent="0.15"/>
    <row r="5305" hidden="1" x14ac:dyDescent="0.15"/>
    <row r="5306" hidden="1" x14ac:dyDescent="0.15"/>
    <row r="5307" hidden="1" x14ac:dyDescent="0.15"/>
    <row r="5308" hidden="1" x14ac:dyDescent="0.15"/>
    <row r="5309" hidden="1" x14ac:dyDescent="0.15"/>
    <row r="5310" hidden="1" x14ac:dyDescent="0.15"/>
    <row r="5311" hidden="1" x14ac:dyDescent="0.15"/>
    <row r="5312" hidden="1" x14ac:dyDescent="0.15"/>
    <row r="5313" hidden="1" x14ac:dyDescent="0.15"/>
    <row r="5314" hidden="1" x14ac:dyDescent="0.15"/>
    <row r="5315" hidden="1" x14ac:dyDescent="0.15"/>
    <row r="5316" hidden="1" x14ac:dyDescent="0.15"/>
    <row r="5317" hidden="1" x14ac:dyDescent="0.15"/>
    <row r="5318" hidden="1" x14ac:dyDescent="0.15"/>
    <row r="5319" hidden="1" x14ac:dyDescent="0.15"/>
    <row r="5320" hidden="1" x14ac:dyDescent="0.15"/>
    <row r="5321" hidden="1" x14ac:dyDescent="0.15"/>
    <row r="5322" hidden="1" x14ac:dyDescent="0.15"/>
    <row r="5323" hidden="1" x14ac:dyDescent="0.15"/>
    <row r="5324" hidden="1" x14ac:dyDescent="0.15"/>
    <row r="5325" hidden="1" x14ac:dyDescent="0.15"/>
    <row r="5326" hidden="1" x14ac:dyDescent="0.15"/>
    <row r="5327" hidden="1" x14ac:dyDescent="0.15"/>
    <row r="5328" hidden="1" x14ac:dyDescent="0.15"/>
    <row r="5329" hidden="1" x14ac:dyDescent="0.15"/>
    <row r="5330" hidden="1" x14ac:dyDescent="0.15"/>
    <row r="5331" hidden="1" x14ac:dyDescent="0.15"/>
    <row r="5332" hidden="1" x14ac:dyDescent="0.15"/>
    <row r="5333" hidden="1" x14ac:dyDescent="0.15"/>
    <row r="5334" hidden="1" x14ac:dyDescent="0.15"/>
    <row r="5335" hidden="1" x14ac:dyDescent="0.15"/>
    <row r="5336" hidden="1" x14ac:dyDescent="0.15"/>
    <row r="5337" hidden="1" x14ac:dyDescent="0.15"/>
    <row r="5338" hidden="1" x14ac:dyDescent="0.15"/>
    <row r="5339" hidden="1" x14ac:dyDescent="0.15"/>
    <row r="5340" hidden="1" x14ac:dyDescent="0.15"/>
    <row r="5341" hidden="1" x14ac:dyDescent="0.15"/>
    <row r="5342" hidden="1" x14ac:dyDescent="0.15"/>
    <row r="5343" hidden="1" x14ac:dyDescent="0.15"/>
    <row r="5344" hidden="1" x14ac:dyDescent="0.15"/>
    <row r="5345" hidden="1" x14ac:dyDescent="0.15"/>
    <row r="5346" hidden="1" x14ac:dyDescent="0.15"/>
    <row r="5347" hidden="1" x14ac:dyDescent="0.15"/>
    <row r="5348" hidden="1" x14ac:dyDescent="0.15"/>
    <row r="5349" hidden="1" x14ac:dyDescent="0.15"/>
    <row r="5350" hidden="1" x14ac:dyDescent="0.15"/>
    <row r="5351" hidden="1" x14ac:dyDescent="0.15"/>
    <row r="5352" hidden="1" x14ac:dyDescent="0.15"/>
    <row r="5353" hidden="1" x14ac:dyDescent="0.15"/>
    <row r="5354" hidden="1" x14ac:dyDescent="0.15"/>
    <row r="5355" hidden="1" x14ac:dyDescent="0.15"/>
    <row r="5356" hidden="1" x14ac:dyDescent="0.15"/>
    <row r="5357" hidden="1" x14ac:dyDescent="0.15"/>
    <row r="5358" hidden="1" x14ac:dyDescent="0.15"/>
    <row r="5359" hidden="1" x14ac:dyDescent="0.15"/>
    <row r="5360" hidden="1" x14ac:dyDescent="0.15"/>
    <row r="5361" hidden="1" x14ac:dyDescent="0.15"/>
    <row r="5362" hidden="1" x14ac:dyDescent="0.15"/>
    <row r="5363" hidden="1" x14ac:dyDescent="0.15"/>
    <row r="5364" hidden="1" x14ac:dyDescent="0.15"/>
    <row r="5365" hidden="1" x14ac:dyDescent="0.15"/>
    <row r="5366" hidden="1" x14ac:dyDescent="0.15"/>
    <row r="5367" hidden="1" x14ac:dyDescent="0.15"/>
    <row r="5368" hidden="1" x14ac:dyDescent="0.15"/>
    <row r="5369" hidden="1" x14ac:dyDescent="0.15"/>
    <row r="5370" hidden="1" x14ac:dyDescent="0.15"/>
    <row r="5371" hidden="1" x14ac:dyDescent="0.15"/>
    <row r="5372" hidden="1" x14ac:dyDescent="0.15"/>
    <row r="5373" hidden="1" x14ac:dyDescent="0.15"/>
    <row r="5374" hidden="1" x14ac:dyDescent="0.15"/>
    <row r="5375" hidden="1" x14ac:dyDescent="0.15"/>
    <row r="5376" hidden="1" x14ac:dyDescent="0.15"/>
    <row r="5377" hidden="1" x14ac:dyDescent="0.15"/>
    <row r="5378" hidden="1" x14ac:dyDescent="0.15"/>
    <row r="5379" hidden="1" x14ac:dyDescent="0.15"/>
    <row r="5380" hidden="1" x14ac:dyDescent="0.15"/>
    <row r="5381" hidden="1" x14ac:dyDescent="0.15"/>
    <row r="5382" hidden="1" x14ac:dyDescent="0.15"/>
    <row r="5383" hidden="1" x14ac:dyDescent="0.15"/>
    <row r="5384" hidden="1" x14ac:dyDescent="0.15"/>
    <row r="5385" hidden="1" x14ac:dyDescent="0.15"/>
    <row r="5386" hidden="1" x14ac:dyDescent="0.15"/>
    <row r="5387" hidden="1" x14ac:dyDescent="0.15"/>
    <row r="5388" hidden="1" x14ac:dyDescent="0.15"/>
    <row r="5389" hidden="1" x14ac:dyDescent="0.15"/>
    <row r="5390" hidden="1" x14ac:dyDescent="0.15"/>
    <row r="5391" hidden="1" x14ac:dyDescent="0.15"/>
    <row r="5392" hidden="1" x14ac:dyDescent="0.15"/>
    <row r="5393" hidden="1" x14ac:dyDescent="0.15"/>
    <row r="5394" hidden="1" x14ac:dyDescent="0.15"/>
    <row r="5395" hidden="1" x14ac:dyDescent="0.15"/>
    <row r="5396" hidden="1" x14ac:dyDescent="0.15"/>
    <row r="5397" hidden="1" x14ac:dyDescent="0.15"/>
    <row r="5398" hidden="1" x14ac:dyDescent="0.15"/>
    <row r="5399" hidden="1" x14ac:dyDescent="0.15"/>
    <row r="5400" hidden="1" x14ac:dyDescent="0.15"/>
    <row r="5401" hidden="1" x14ac:dyDescent="0.15"/>
    <row r="5402" hidden="1" x14ac:dyDescent="0.15"/>
    <row r="5403" hidden="1" x14ac:dyDescent="0.15"/>
    <row r="5404" hidden="1" x14ac:dyDescent="0.15"/>
    <row r="5405" hidden="1" x14ac:dyDescent="0.15"/>
    <row r="5406" hidden="1" x14ac:dyDescent="0.15"/>
    <row r="5407" hidden="1" x14ac:dyDescent="0.15"/>
    <row r="5408" hidden="1" x14ac:dyDescent="0.15"/>
    <row r="5409" hidden="1" x14ac:dyDescent="0.15"/>
    <row r="5410" hidden="1" x14ac:dyDescent="0.15"/>
    <row r="5411" hidden="1" x14ac:dyDescent="0.15"/>
    <row r="5412" hidden="1" x14ac:dyDescent="0.15"/>
    <row r="5413" hidden="1" x14ac:dyDescent="0.15"/>
    <row r="5414" hidden="1" x14ac:dyDescent="0.15"/>
    <row r="5415" hidden="1" x14ac:dyDescent="0.15"/>
    <row r="5416" hidden="1" x14ac:dyDescent="0.15"/>
    <row r="5417" hidden="1" x14ac:dyDescent="0.15"/>
    <row r="5418" hidden="1" x14ac:dyDescent="0.15"/>
    <row r="5419" hidden="1" x14ac:dyDescent="0.15"/>
    <row r="5420" hidden="1" x14ac:dyDescent="0.15"/>
    <row r="5421" hidden="1" x14ac:dyDescent="0.15"/>
    <row r="5422" hidden="1" x14ac:dyDescent="0.15"/>
    <row r="5423" hidden="1" x14ac:dyDescent="0.15"/>
    <row r="5424" hidden="1" x14ac:dyDescent="0.15"/>
    <row r="5425" hidden="1" x14ac:dyDescent="0.15"/>
    <row r="5426" hidden="1" x14ac:dyDescent="0.15"/>
    <row r="5427" hidden="1" x14ac:dyDescent="0.15"/>
    <row r="5428" hidden="1" x14ac:dyDescent="0.15"/>
    <row r="5429" hidden="1" x14ac:dyDescent="0.15"/>
    <row r="5430" hidden="1" x14ac:dyDescent="0.15"/>
    <row r="5431" hidden="1" x14ac:dyDescent="0.15"/>
    <row r="5432" hidden="1" x14ac:dyDescent="0.15"/>
    <row r="5433" hidden="1" x14ac:dyDescent="0.15"/>
    <row r="5434" hidden="1" x14ac:dyDescent="0.15"/>
    <row r="5435" hidden="1" x14ac:dyDescent="0.15"/>
    <row r="5436" hidden="1" x14ac:dyDescent="0.15"/>
    <row r="5437" hidden="1" x14ac:dyDescent="0.15"/>
    <row r="5438" hidden="1" x14ac:dyDescent="0.15"/>
    <row r="5439" hidden="1" x14ac:dyDescent="0.15"/>
    <row r="5440" hidden="1" x14ac:dyDescent="0.15"/>
    <row r="5441" hidden="1" x14ac:dyDescent="0.15"/>
    <row r="5442" hidden="1" x14ac:dyDescent="0.15"/>
    <row r="5443" hidden="1" x14ac:dyDescent="0.15"/>
    <row r="5444" hidden="1" x14ac:dyDescent="0.15"/>
    <row r="5445" hidden="1" x14ac:dyDescent="0.15"/>
    <row r="5446" hidden="1" x14ac:dyDescent="0.15"/>
    <row r="5447" hidden="1" x14ac:dyDescent="0.15"/>
    <row r="5448" hidden="1" x14ac:dyDescent="0.15"/>
    <row r="5449" hidden="1" x14ac:dyDescent="0.15"/>
    <row r="5450" hidden="1" x14ac:dyDescent="0.15"/>
    <row r="5451" hidden="1" x14ac:dyDescent="0.15"/>
    <row r="5452" hidden="1" x14ac:dyDescent="0.15"/>
    <row r="5453" hidden="1" x14ac:dyDescent="0.15"/>
    <row r="5454" hidden="1" x14ac:dyDescent="0.15"/>
    <row r="5455" hidden="1" x14ac:dyDescent="0.15"/>
    <row r="5456" hidden="1" x14ac:dyDescent="0.15"/>
    <row r="5457" hidden="1" x14ac:dyDescent="0.15"/>
    <row r="5458" hidden="1" x14ac:dyDescent="0.15"/>
    <row r="5459" hidden="1" x14ac:dyDescent="0.15"/>
    <row r="5460" hidden="1" x14ac:dyDescent="0.15"/>
    <row r="5461" hidden="1" x14ac:dyDescent="0.15"/>
    <row r="5462" hidden="1" x14ac:dyDescent="0.15"/>
    <row r="5463" hidden="1" x14ac:dyDescent="0.15"/>
    <row r="5464" hidden="1" x14ac:dyDescent="0.15"/>
    <row r="5465" hidden="1" x14ac:dyDescent="0.15"/>
    <row r="5466" hidden="1" x14ac:dyDescent="0.15"/>
    <row r="5467" hidden="1" x14ac:dyDescent="0.15"/>
    <row r="5468" hidden="1" x14ac:dyDescent="0.15"/>
    <row r="5469" hidden="1" x14ac:dyDescent="0.15"/>
    <row r="5470" hidden="1" x14ac:dyDescent="0.15"/>
    <row r="5471" hidden="1" x14ac:dyDescent="0.15"/>
    <row r="5472" hidden="1" x14ac:dyDescent="0.15"/>
    <row r="5473" hidden="1" x14ac:dyDescent="0.15"/>
    <row r="5474" hidden="1" x14ac:dyDescent="0.15"/>
    <row r="5475" hidden="1" x14ac:dyDescent="0.15"/>
    <row r="5476" hidden="1" x14ac:dyDescent="0.15"/>
    <row r="5477" hidden="1" x14ac:dyDescent="0.15"/>
    <row r="5478" hidden="1" x14ac:dyDescent="0.15"/>
    <row r="5479" hidden="1" x14ac:dyDescent="0.15"/>
    <row r="5480" hidden="1" x14ac:dyDescent="0.15"/>
    <row r="5481" hidden="1" x14ac:dyDescent="0.15"/>
    <row r="5482" hidden="1" x14ac:dyDescent="0.15"/>
    <row r="5483" hidden="1" x14ac:dyDescent="0.15"/>
    <row r="5484" hidden="1" x14ac:dyDescent="0.15"/>
    <row r="5485" hidden="1" x14ac:dyDescent="0.15"/>
    <row r="5486" hidden="1" x14ac:dyDescent="0.15"/>
    <row r="5487" hidden="1" x14ac:dyDescent="0.15"/>
    <row r="5488" hidden="1" x14ac:dyDescent="0.15"/>
    <row r="5489" hidden="1" x14ac:dyDescent="0.15"/>
    <row r="5490" hidden="1" x14ac:dyDescent="0.15"/>
    <row r="5491" hidden="1" x14ac:dyDescent="0.15"/>
    <row r="5492" hidden="1" x14ac:dyDescent="0.15"/>
    <row r="5493" hidden="1" x14ac:dyDescent="0.15"/>
    <row r="5494" hidden="1" x14ac:dyDescent="0.15"/>
    <row r="5495" hidden="1" x14ac:dyDescent="0.15"/>
    <row r="5496" hidden="1" x14ac:dyDescent="0.15"/>
    <row r="5497" hidden="1" x14ac:dyDescent="0.15"/>
    <row r="5498" hidden="1" x14ac:dyDescent="0.15"/>
    <row r="5499" hidden="1" x14ac:dyDescent="0.15"/>
    <row r="5500" hidden="1" x14ac:dyDescent="0.15"/>
    <row r="5501" hidden="1" x14ac:dyDescent="0.15"/>
    <row r="5502" hidden="1" x14ac:dyDescent="0.15"/>
    <row r="5503" hidden="1" x14ac:dyDescent="0.15"/>
    <row r="5504" hidden="1" x14ac:dyDescent="0.15"/>
    <row r="5505" hidden="1" x14ac:dyDescent="0.15"/>
    <row r="5506" hidden="1" x14ac:dyDescent="0.15"/>
    <row r="5507" hidden="1" x14ac:dyDescent="0.15"/>
    <row r="5508" hidden="1" x14ac:dyDescent="0.15"/>
    <row r="5509" hidden="1" x14ac:dyDescent="0.15"/>
    <row r="5510" hidden="1" x14ac:dyDescent="0.15"/>
    <row r="5511" hidden="1" x14ac:dyDescent="0.15"/>
    <row r="5512" hidden="1" x14ac:dyDescent="0.15"/>
    <row r="5513" hidden="1" x14ac:dyDescent="0.15"/>
    <row r="5514" hidden="1" x14ac:dyDescent="0.15"/>
    <row r="5515" hidden="1" x14ac:dyDescent="0.15"/>
    <row r="5516" hidden="1" x14ac:dyDescent="0.15"/>
    <row r="5517" hidden="1" x14ac:dyDescent="0.15"/>
    <row r="5518" hidden="1" x14ac:dyDescent="0.15"/>
    <row r="5519" hidden="1" x14ac:dyDescent="0.15"/>
    <row r="5520" hidden="1" x14ac:dyDescent="0.15"/>
    <row r="5521" hidden="1" x14ac:dyDescent="0.15"/>
    <row r="5522" hidden="1" x14ac:dyDescent="0.15"/>
    <row r="5523" hidden="1" x14ac:dyDescent="0.15"/>
    <row r="5524" hidden="1" x14ac:dyDescent="0.15"/>
    <row r="5525" hidden="1" x14ac:dyDescent="0.15"/>
    <row r="5526" hidden="1" x14ac:dyDescent="0.15"/>
    <row r="5527" hidden="1" x14ac:dyDescent="0.15"/>
    <row r="5528" hidden="1" x14ac:dyDescent="0.15"/>
    <row r="5529" hidden="1" x14ac:dyDescent="0.15"/>
    <row r="5530" hidden="1" x14ac:dyDescent="0.15"/>
    <row r="5531" hidden="1" x14ac:dyDescent="0.15"/>
    <row r="5532" hidden="1" x14ac:dyDescent="0.15"/>
    <row r="5533" hidden="1" x14ac:dyDescent="0.15"/>
    <row r="5534" hidden="1" x14ac:dyDescent="0.15"/>
    <row r="5535" hidden="1" x14ac:dyDescent="0.15"/>
    <row r="5536" hidden="1" x14ac:dyDescent="0.15"/>
    <row r="5537" hidden="1" x14ac:dyDescent="0.15"/>
    <row r="5538" hidden="1" x14ac:dyDescent="0.15"/>
    <row r="5539" hidden="1" x14ac:dyDescent="0.15"/>
    <row r="5540" hidden="1" x14ac:dyDescent="0.15"/>
    <row r="5541" hidden="1" x14ac:dyDescent="0.15"/>
    <row r="5542" hidden="1" x14ac:dyDescent="0.15"/>
    <row r="5543" hidden="1" x14ac:dyDescent="0.15"/>
    <row r="5544" hidden="1" x14ac:dyDescent="0.15"/>
    <row r="5545" hidden="1" x14ac:dyDescent="0.15"/>
    <row r="5546" hidden="1" x14ac:dyDescent="0.15"/>
    <row r="5547" hidden="1" x14ac:dyDescent="0.15"/>
    <row r="5548" hidden="1" x14ac:dyDescent="0.15"/>
    <row r="5549" hidden="1" x14ac:dyDescent="0.15"/>
    <row r="5550" hidden="1" x14ac:dyDescent="0.15"/>
    <row r="5551" hidden="1" x14ac:dyDescent="0.15"/>
    <row r="5552" hidden="1" x14ac:dyDescent="0.15"/>
    <row r="5553" hidden="1" x14ac:dyDescent="0.15"/>
    <row r="5554" hidden="1" x14ac:dyDescent="0.15"/>
    <row r="5555" hidden="1" x14ac:dyDescent="0.15"/>
    <row r="5556" hidden="1" x14ac:dyDescent="0.15"/>
    <row r="5557" hidden="1" x14ac:dyDescent="0.15"/>
    <row r="5558" hidden="1" x14ac:dyDescent="0.15"/>
    <row r="5559" hidden="1" x14ac:dyDescent="0.15"/>
    <row r="5560" hidden="1" x14ac:dyDescent="0.15"/>
    <row r="5561" hidden="1" x14ac:dyDescent="0.15"/>
    <row r="5562" hidden="1" x14ac:dyDescent="0.15"/>
    <row r="5563" hidden="1" x14ac:dyDescent="0.15"/>
    <row r="5564" hidden="1" x14ac:dyDescent="0.15"/>
    <row r="5565" hidden="1" x14ac:dyDescent="0.15"/>
    <row r="5566" hidden="1" x14ac:dyDescent="0.15"/>
    <row r="5567" hidden="1" x14ac:dyDescent="0.15"/>
    <row r="5568" hidden="1" x14ac:dyDescent="0.15"/>
    <row r="5569" hidden="1" x14ac:dyDescent="0.15"/>
    <row r="5570" hidden="1" x14ac:dyDescent="0.15"/>
    <row r="5571" hidden="1" x14ac:dyDescent="0.15"/>
    <row r="5572" hidden="1" x14ac:dyDescent="0.15"/>
    <row r="5573" hidden="1" x14ac:dyDescent="0.15"/>
    <row r="5574" hidden="1" x14ac:dyDescent="0.15"/>
    <row r="5575" hidden="1" x14ac:dyDescent="0.15"/>
    <row r="5576" hidden="1" x14ac:dyDescent="0.15"/>
    <row r="5577" hidden="1" x14ac:dyDescent="0.15"/>
    <row r="5578" hidden="1" x14ac:dyDescent="0.15"/>
    <row r="5579" hidden="1" x14ac:dyDescent="0.15"/>
    <row r="5580" hidden="1" x14ac:dyDescent="0.15"/>
    <row r="5581" hidden="1" x14ac:dyDescent="0.15"/>
    <row r="5582" hidden="1" x14ac:dyDescent="0.15"/>
    <row r="5583" hidden="1" x14ac:dyDescent="0.15"/>
    <row r="5584" hidden="1" x14ac:dyDescent="0.15"/>
    <row r="5585" hidden="1" x14ac:dyDescent="0.15"/>
    <row r="5586" hidden="1" x14ac:dyDescent="0.15"/>
    <row r="5587" hidden="1" x14ac:dyDescent="0.15"/>
    <row r="5588" hidden="1" x14ac:dyDescent="0.15"/>
    <row r="5589" hidden="1" x14ac:dyDescent="0.15"/>
    <row r="5590" hidden="1" x14ac:dyDescent="0.15"/>
    <row r="5591" hidden="1" x14ac:dyDescent="0.15"/>
    <row r="5592" hidden="1" x14ac:dyDescent="0.15"/>
    <row r="5593" hidden="1" x14ac:dyDescent="0.15"/>
    <row r="5594" hidden="1" x14ac:dyDescent="0.15"/>
    <row r="5595" hidden="1" x14ac:dyDescent="0.15"/>
    <row r="5596" hidden="1" x14ac:dyDescent="0.15"/>
    <row r="5597" hidden="1" x14ac:dyDescent="0.15"/>
    <row r="5598" hidden="1" x14ac:dyDescent="0.15"/>
    <row r="5599" hidden="1" x14ac:dyDescent="0.15"/>
    <row r="5600" hidden="1" x14ac:dyDescent="0.15"/>
    <row r="5601" hidden="1" x14ac:dyDescent="0.15"/>
    <row r="5602" hidden="1" x14ac:dyDescent="0.15"/>
    <row r="5603" hidden="1" x14ac:dyDescent="0.15"/>
    <row r="5604" hidden="1" x14ac:dyDescent="0.15"/>
    <row r="5605" hidden="1" x14ac:dyDescent="0.15"/>
    <row r="5606" hidden="1" x14ac:dyDescent="0.15"/>
    <row r="5607" hidden="1" x14ac:dyDescent="0.15"/>
    <row r="5608" hidden="1" x14ac:dyDescent="0.15"/>
    <row r="5609" hidden="1" x14ac:dyDescent="0.15"/>
    <row r="5610" hidden="1" x14ac:dyDescent="0.15"/>
    <row r="5611" hidden="1" x14ac:dyDescent="0.15"/>
    <row r="5612" hidden="1" x14ac:dyDescent="0.15"/>
    <row r="5613" hidden="1" x14ac:dyDescent="0.15"/>
    <row r="5614" hidden="1" x14ac:dyDescent="0.15"/>
    <row r="5615" hidden="1" x14ac:dyDescent="0.15"/>
    <row r="5616" hidden="1" x14ac:dyDescent="0.15"/>
    <row r="5617" hidden="1" x14ac:dyDescent="0.15"/>
    <row r="5618" hidden="1" x14ac:dyDescent="0.15"/>
    <row r="5619" hidden="1" x14ac:dyDescent="0.15"/>
    <row r="5620" hidden="1" x14ac:dyDescent="0.15"/>
    <row r="5621" hidden="1" x14ac:dyDescent="0.15"/>
    <row r="5622" hidden="1" x14ac:dyDescent="0.15"/>
    <row r="5623" hidden="1" x14ac:dyDescent="0.15"/>
    <row r="5624" hidden="1" x14ac:dyDescent="0.15"/>
    <row r="5625" hidden="1" x14ac:dyDescent="0.15"/>
    <row r="5626" hidden="1" x14ac:dyDescent="0.15"/>
    <row r="5627" hidden="1" x14ac:dyDescent="0.15"/>
    <row r="5628" hidden="1" x14ac:dyDescent="0.15"/>
    <row r="5629" hidden="1" x14ac:dyDescent="0.15"/>
    <row r="5630" hidden="1" x14ac:dyDescent="0.15"/>
    <row r="5631" hidden="1" x14ac:dyDescent="0.15"/>
    <row r="5632" hidden="1" x14ac:dyDescent="0.15"/>
    <row r="5633" hidden="1" x14ac:dyDescent="0.15"/>
    <row r="5634" hidden="1" x14ac:dyDescent="0.15"/>
    <row r="5635" hidden="1" x14ac:dyDescent="0.15"/>
    <row r="5636" hidden="1" x14ac:dyDescent="0.15"/>
    <row r="5637" hidden="1" x14ac:dyDescent="0.15"/>
    <row r="5638" hidden="1" x14ac:dyDescent="0.15"/>
    <row r="5639" hidden="1" x14ac:dyDescent="0.15"/>
    <row r="5640" hidden="1" x14ac:dyDescent="0.15"/>
    <row r="5641" hidden="1" x14ac:dyDescent="0.15"/>
    <row r="5642" hidden="1" x14ac:dyDescent="0.15"/>
    <row r="5643" hidden="1" x14ac:dyDescent="0.15"/>
    <row r="5644" hidden="1" x14ac:dyDescent="0.15"/>
    <row r="5645" hidden="1" x14ac:dyDescent="0.15"/>
    <row r="5646" hidden="1" x14ac:dyDescent="0.15"/>
    <row r="5647" hidden="1" x14ac:dyDescent="0.15"/>
    <row r="5648" hidden="1" x14ac:dyDescent="0.15"/>
    <row r="5649" hidden="1" x14ac:dyDescent="0.15"/>
    <row r="5650" hidden="1" x14ac:dyDescent="0.15"/>
    <row r="5651" hidden="1" x14ac:dyDescent="0.15"/>
    <row r="5652" hidden="1" x14ac:dyDescent="0.15"/>
    <row r="5653" hidden="1" x14ac:dyDescent="0.15"/>
    <row r="5654" hidden="1" x14ac:dyDescent="0.15"/>
    <row r="5655" hidden="1" x14ac:dyDescent="0.15"/>
    <row r="5656" hidden="1" x14ac:dyDescent="0.15"/>
    <row r="5657" hidden="1" x14ac:dyDescent="0.15"/>
    <row r="5658" hidden="1" x14ac:dyDescent="0.15"/>
    <row r="5659" hidden="1" x14ac:dyDescent="0.15"/>
    <row r="5660" hidden="1" x14ac:dyDescent="0.15"/>
    <row r="5661" hidden="1" x14ac:dyDescent="0.15"/>
    <row r="5662" hidden="1" x14ac:dyDescent="0.15"/>
    <row r="5663" hidden="1" x14ac:dyDescent="0.15"/>
    <row r="5664" hidden="1" x14ac:dyDescent="0.15"/>
    <row r="5665" hidden="1" x14ac:dyDescent="0.15"/>
    <row r="5666" hidden="1" x14ac:dyDescent="0.15"/>
    <row r="5667" hidden="1" x14ac:dyDescent="0.15"/>
    <row r="5668" hidden="1" x14ac:dyDescent="0.15"/>
    <row r="5669" hidden="1" x14ac:dyDescent="0.15"/>
    <row r="5670" hidden="1" x14ac:dyDescent="0.15"/>
    <row r="5671" hidden="1" x14ac:dyDescent="0.15"/>
    <row r="5672" hidden="1" x14ac:dyDescent="0.15"/>
    <row r="5673" hidden="1" x14ac:dyDescent="0.15"/>
    <row r="5674" hidden="1" x14ac:dyDescent="0.15"/>
    <row r="5675" hidden="1" x14ac:dyDescent="0.15"/>
    <row r="5676" hidden="1" x14ac:dyDescent="0.15"/>
    <row r="5677" hidden="1" x14ac:dyDescent="0.15"/>
    <row r="5678" hidden="1" x14ac:dyDescent="0.15"/>
    <row r="5679" hidden="1" x14ac:dyDescent="0.15"/>
    <row r="5680" hidden="1" x14ac:dyDescent="0.15"/>
    <row r="5681" hidden="1" x14ac:dyDescent="0.15"/>
    <row r="5682" hidden="1" x14ac:dyDescent="0.15"/>
    <row r="5683" hidden="1" x14ac:dyDescent="0.15"/>
    <row r="5684" hidden="1" x14ac:dyDescent="0.15"/>
    <row r="5685" hidden="1" x14ac:dyDescent="0.15"/>
    <row r="5686" hidden="1" x14ac:dyDescent="0.15"/>
    <row r="5687" hidden="1" x14ac:dyDescent="0.15"/>
    <row r="5688" hidden="1" x14ac:dyDescent="0.15"/>
    <row r="5689" hidden="1" x14ac:dyDescent="0.15"/>
    <row r="5690" hidden="1" x14ac:dyDescent="0.15"/>
    <row r="5691" hidden="1" x14ac:dyDescent="0.15"/>
    <row r="5692" hidden="1" x14ac:dyDescent="0.15"/>
    <row r="5693" hidden="1" x14ac:dyDescent="0.15"/>
    <row r="5694" hidden="1" x14ac:dyDescent="0.15"/>
    <row r="5695" hidden="1" x14ac:dyDescent="0.15"/>
    <row r="5696" hidden="1" x14ac:dyDescent="0.15"/>
    <row r="5697" hidden="1" x14ac:dyDescent="0.15"/>
    <row r="5698" hidden="1" x14ac:dyDescent="0.15"/>
    <row r="5699" hidden="1" x14ac:dyDescent="0.15"/>
    <row r="5700" hidden="1" x14ac:dyDescent="0.15"/>
    <row r="5701" hidden="1" x14ac:dyDescent="0.15"/>
    <row r="5702" hidden="1" x14ac:dyDescent="0.15"/>
    <row r="5703" hidden="1" x14ac:dyDescent="0.15"/>
    <row r="5704" hidden="1" x14ac:dyDescent="0.15"/>
    <row r="5705" hidden="1" x14ac:dyDescent="0.15"/>
    <row r="5706" hidden="1" x14ac:dyDescent="0.15"/>
    <row r="5707" hidden="1" x14ac:dyDescent="0.15"/>
    <row r="5708" hidden="1" x14ac:dyDescent="0.15"/>
    <row r="5709" hidden="1" x14ac:dyDescent="0.15"/>
    <row r="5710" hidden="1" x14ac:dyDescent="0.15"/>
    <row r="5711" hidden="1" x14ac:dyDescent="0.15"/>
    <row r="5712" hidden="1" x14ac:dyDescent="0.15"/>
    <row r="5713" hidden="1" x14ac:dyDescent="0.15"/>
    <row r="5714" hidden="1" x14ac:dyDescent="0.15"/>
    <row r="5715" hidden="1" x14ac:dyDescent="0.15"/>
    <row r="5716" hidden="1" x14ac:dyDescent="0.15"/>
    <row r="5717" hidden="1" x14ac:dyDescent="0.15"/>
    <row r="5718" hidden="1" x14ac:dyDescent="0.15"/>
    <row r="5719" hidden="1" x14ac:dyDescent="0.15"/>
    <row r="5720" hidden="1" x14ac:dyDescent="0.15"/>
    <row r="5721" hidden="1" x14ac:dyDescent="0.15"/>
    <row r="5722" hidden="1" x14ac:dyDescent="0.15"/>
    <row r="5723" hidden="1" x14ac:dyDescent="0.15"/>
    <row r="5724" hidden="1" x14ac:dyDescent="0.15"/>
    <row r="5725" hidden="1" x14ac:dyDescent="0.15"/>
    <row r="5726" hidden="1" x14ac:dyDescent="0.15"/>
    <row r="5727" hidden="1" x14ac:dyDescent="0.15"/>
    <row r="5728" hidden="1" x14ac:dyDescent="0.15"/>
    <row r="5729" hidden="1" x14ac:dyDescent="0.15"/>
    <row r="5730" hidden="1" x14ac:dyDescent="0.15"/>
    <row r="5731" hidden="1" x14ac:dyDescent="0.15"/>
    <row r="5732" hidden="1" x14ac:dyDescent="0.15"/>
    <row r="5733" hidden="1" x14ac:dyDescent="0.15"/>
    <row r="5734" hidden="1" x14ac:dyDescent="0.15"/>
    <row r="5735" hidden="1" x14ac:dyDescent="0.15"/>
    <row r="5736" hidden="1" x14ac:dyDescent="0.15"/>
    <row r="5737" hidden="1" x14ac:dyDescent="0.15"/>
    <row r="5738" hidden="1" x14ac:dyDescent="0.15"/>
    <row r="5739" hidden="1" x14ac:dyDescent="0.15"/>
    <row r="5740" hidden="1" x14ac:dyDescent="0.15"/>
    <row r="5741" hidden="1" x14ac:dyDescent="0.15"/>
    <row r="5742" hidden="1" x14ac:dyDescent="0.15"/>
    <row r="5743" hidden="1" x14ac:dyDescent="0.15"/>
    <row r="5744" hidden="1" x14ac:dyDescent="0.15"/>
    <row r="5745" hidden="1" x14ac:dyDescent="0.15"/>
    <row r="5746" hidden="1" x14ac:dyDescent="0.15"/>
    <row r="5747" hidden="1" x14ac:dyDescent="0.15"/>
    <row r="5748" hidden="1" x14ac:dyDescent="0.15"/>
    <row r="5749" hidden="1" x14ac:dyDescent="0.15"/>
    <row r="5750" hidden="1" x14ac:dyDescent="0.15"/>
    <row r="5751" hidden="1" x14ac:dyDescent="0.15"/>
    <row r="5752" hidden="1" x14ac:dyDescent="0.15"/>
    <row r="5753" hidden="1" x14ac:dyDescent="0.15"/>
    <row r="5754" hidden="1" x14ac:dyDescent="0.15"/>
    <row r="5755" hidden="1" x14ac:dyDescent="0.15"/>
    <row r="5756" hidden="1" x14ac:dyDescent="0.15"/>
    <row r="5757" hidden="1" x14ac:dyDescent="0.15"/>
    <row r="5758" hidden="1" x14ac:dyDescent="0.15"/>
    <row r="5759" hidden="1" x14ac:dyDescent="0.15"/>
    <row r="5760" hidden="1" x14ac:dyDescent="0.15"/>
    <row r="5761" hidden="1" x14ac:dyDescent="0.15"/>
    <row r="5762" hidden="1" x14ac:dyDescent="0.15"/>
    <row r="5763" hidden="1" x14ac:dyDescent="0.15"/>
    <row r="5764" hidden="1" x14ac:dyDescent="0.15"/>
    <row r="5765" hidden="1" x14ac:dyDescent="0.15"/>
    <row r="5766" hidden="1" x14ac:dyDescent="0.15"/>
    <row r="5767" hidden="1" x14ac:dyDescent="0.15"/>
    <row r="5768" hidden="1" x14ac:dyDescent="0.15"/>
    <row r="5769" hidden="1" x14ac:dyDescent="0.15"/>
    <row r="5770" hidden="1" x14ac:dyDescent="0.15"/>
    <row r="5771" hidden="1" x14ac:dyDescent="0.15"/>
    <row r="5772" hidden="1" x14ac:dyDescent="0.15"/>
    <row r="5773" hidden="1" x14ac:dyDescent="0.15"/>
    <row r="5774" hidden="1" x14ac:dyDescent="0.15"/>
    <row r="5775" hidden="1" x14ac:dyDescent="0.15"/>
    <row r="5776" hidden="1" x14ac:dyDescent="0.15"/>
    <row r="5777" hidden="1" x14ac:dyDescent="0.15"/>
    <row r="5778" hidden="1" x14ac:dyDescent="0.15"/>
    <row r="5779" hidden="1" x14ac:dyDescent="0.15"/>
    <row r="5780" hidden="1" x14ac:dyDescent="0.15"/>
    <row r="5781" hidden="1" x14ac:dyDescent="0.15"/>
    <row r="5782" hidden="1" x14ac:dyDescent="0.15"/>
    <row r="5783" hidden="1" x14ac:dyDescent="0.15"/>
    <row r="5784" hidden="1" x14ac:dyDescent="0.15"/>
    <row r="5785" hidden="1" x14ac:dyDescent="0.15"/>
    <row r="5786" hidden="1" x14ac:dyDescent="0.15"/>
    <row r="5787" hidden="1" x14ac:dyDescent="0.15"/>
    <row r="5788" hidden="1" x14ac:dyDescent="0.15"/>
    <row r="5789" hidden="1" x14ac:dyDescent="0.15"/>
    <row r="5790" hidden="1" x14ac:dyDescent="0.15"/>
    <row r="5791" hidden="1" x14ac:dyDescent="0.15"/>
    <row r="5792" hidden="1" x14ac:dyDescent="0.15"/>
    <row r="5793" hidden="1" x14ac:dyDescent="0.15"/>
    <row r="5794" hidden="1" x14ac:dyDescent="0.15"/>
    <row r="5795" hidden="1" x14ac:dyDescent="0.15"/>
    <row r="5796" hidden="1" x14ac:dyDescent="0.15"/>
    <row r="5797" hidden="1" x14ac:dyDescent="0.15"/>
    <row r="5798" hidden="1" x14ac:dyDescent="0.15"/>
    <row r="5799" hidden="1" x14ac:dyDescent="0.15"/>
    <row r="5800" hidden="1" x14ac:dyDescent="0.15"/>
    <row r="5801" hidden="1" x14ac:dyDescent="0.15"/>
    <row r="5802" hidden="1" x14ac:dyDescent="0.15"/>
    <row r="5803" hidden="1" x14ac:dyDescent="0.15"/>
    <row r="5804" hidden="1" x14ac:dyDescent="0.15"/>
    <row r="5805" hidden="1" x14ac:dyDescent="0.15"/>
    <row r="5806" hidden="1" x14ac:dyDescent="0.15"/>
    <row r="5807" hidden="1" x14ac:dyDescent="0.15"/>
    <row r="5808" hidden="1" x14ac:dyDescent="0.15"/>
    <row r="5809" hidden="1" x14ac:dyDescent="0.15"/>
    <row r="5810" hidden="1" x14ac:dyDescent="0.15"/>
    <row r="5811" hidden="1" x14ac:dyDescent="0.15"/>
    <row r="5812" hidden="1" x14ac:dyDescent="0.15"/>
    <row r="5813" hidden="1" x14ac:dyDescent="0.15"/>
    <row r="5814" hidden="1" x14ac:dyDescent="0.15"/>
    <row r="5815" hidden="1" x14ac:dyDescent="0.15"/>
    <row r="5816" hidden="1" x14ac:dyDescent="0.15"/>
    <row r="5817" hidden="1" x14ac:dyDescent="0.15"/>
    <row r="5818" hidden="1" x14ac:dyDescent="0.15"/>
    <row r="5819" hidden="1" x14ac:dyDescent="0.15"/>
    <row r="5820" hidden="1" x14ac:dyDescent="0.15"/>
    <row r="5821" hidden="1" x14ac:dyDescent="0.15"/>
    <row r="5822" hidden="1" x14ac:dyDescent="0.15"/>
    <row r="5823" hidden="1" x14ac:dyDescent="0.15"/>
    <row r="5824" hidden="1" x14ac:dyDescent="0.15"/>
    <row r="5825" hidden="1" x14ac:dyDescent="0.15"/>
    <row r="5826" hidden="1" x14ac:dyDescent="0.15"/>
    <row r="5827" hidden="1" x14ac:dyDescent="0.15"/>
    <row r="5828" hidden="1" x14ac:dyDescent="0.15"/>
    <row r="5829" hidden="1" x14ac:dyDescent="0.15"/>
    <row r="5830" hidden="1" x14ac:dyDescent="0.15"/>
    <row r="5831" hidden="1" x14ac:dyDescent="0.15"/>
    <row r="5832" hidden="1" x14ac:dyDescent="0.15"/>
    <row r="5833" hidden="1" x14ac:dyDescent="0.15"/>
    <row r="5834" hidden="1" x14ac:dyDescent="0.15"/>
    <row r="5835" hidden="1" x14ac:dyDescent="0.15"/>
    <row r="5836" hidden="1" x14ac:dyDescent="0.15"/>
    <row r="5837" hidden="1" x14ac:dyDescent="0.15"/>
    <row r="5838" hidden="1" x14ac:dyDescent="0.15"/>
    <row r="5839" hidden="1" x14ac:dyDescent="0.15"/>
    <row r="5840" hidden="1" x14ac:dyDescent="0.15"/>
    <row r="5841" hidden="1" x14ac:dyDescent="0.15"/>
    <row r="5842" hidden="1" x14ac:dyDescent="0.15"/>
    <row r="5843" hidden="1" x14ac:dyDescent="0.15"/>
    <row r="5844" hidden="1" x14ac:dyDescent="0.15"/>
    <row r="5845" hidden="1" x14ac:dyDescent="0.15"/>
    <row r="5846" hidden="1" x14ac:dyDescent="0.15"/>
    <row r="5847" hidden="1" x14ac:dyDescent="0.15"/>
    <row r="5848" hidden="1" x14ac:dyDescent="0.15"/>
    <row r="5849" hidden="1" x14ac:dyDescent="0.15"/>
    <row r="5850" hidden="1" x14ac:dyDescent="0.15"/>
    <row r="5851" hidden="1" x14ac:dyDescent="0.15"/>
    <row r="5852" hidden="1" x14ac:dyDescent="0.15"/>
    <row r="5853" hidden="1" x14ac:dyDescent="0.15"/>
    <row r="5854" hidden="1" x14ac:dyDescent="0.15"/>
    <row r="5855" hidden="1" x14ac:dyDescent="0.15"/>
    <row r="5856" hidden="1" x14ac:dyDescent="0.15"/>
    <row r="5857" hidden="1" x14ac:dyDescent="0.15"/>
    <row r="5858" hidden="1" x14ac:dyDescent="0.15"/>
    <row r="5859" hidden="1" x14ac:dyDescent="0.15"/>
    <row r="5860" hidden="1" x14ac:dyDescent="0.15"/>
    <row r="5861" hidden="1" x14ac:dyDescent="0.15"/>
    <row r="5862" hidden="1" x14ac:dyDescent="0.15"/>
    <row r="5863" hidden="1" x14ac:dyDescent="0.15"/>
    <row r="5864" hidden="1" x14ac:dyDescent="0.15"/>
    <row r="5865" hidden="1" x14ac:dyDescent="0.15"/>
    <row r="5866" hidden="1" x14ac:dyDescent="0.15"/>
    <row r="5867" hidden="1" x14ac:dyDescent="0.15"/>
    <row r="5868" hidden="1" x14ac:dyDescent="0.15"/>
    <row r="5869" hidden="1" x14ac:dyDescent="0.15"/>
    <row r="5870" hidden="1" x14ac:dyDescent="0.15"/>
    <row r="5871" hidden="1" x14ac:dyDescent="0.15"/>
    <row r="5872" hidden="1" x14ac:dyDescent="0.15"/>
    <row r="5873" hidden="1" x14ac:dyDescent="0.15"/>
    <row r="5874" hidden="1" x14ac:dyDescent="0.15"/>
    <row r="5875" hidden="1" x14ac:dyDescent="0.15"/>
    <row r="5876" hidden="1" x14ac:dyDescent="0.15"/>
    <row r="5877" hidden="1" x14ac:dyDescent="0.15"/>
    <row r="5878" hidden="1" x14ac:dyDescent="0.15"/>
    <row r="5879" hidden="1" x14ac:dyDescent="0.15"/>
    <row r="5880" hidden="1" x14ac:dyDescent="0.15"/>
    <row r="5881" hidden="1" x14ac:dyDescent="0.15"/>
    <row r="5882" hidden="1" x14ac:dyDescent="0.15"/>
    <row r="5883" hidden="1" x14ac:dyDescent="0.15"/>
    <row r="5884" hidden="1" x14ac:dyDescent="0.15"/>
    <row r="5885" hidden="1" x14ac:dyDescent="0.15"/>
    <row r="5886" hidden="1" x14ac:dyDescent="0.15"/>
    <row r="5887" hidden="1" x14ac:dyDescent="0.15"/>
    <row r="5888" hidden="1" x14ac:dyDescent="0.15"/>
    <row r="5889" hidden="1" x14ac:dyDescent="0.15"/>
    <row r="5890" hidden="1" x14ac:dyDescent="0.15"/>
    <row r="5891" hidden="1" x14ac:dyDescent="0.15"/>
    <row r="5892" hidden="1" x14ac:dyDescent="0.15"/>
    <row r="5893" hidden="1" x14ac:dyDescent="0.15"/>
    <row r="5894" hidden="1" x14ac:dyDescent="0.15"/>
    <row r="5895" hidden="1" x14ac:dyDescent="0.15"/>
    <row r="5896" hidden="1" x14ac:dyDescent="0.15"/>
    <row r="5897" hidden="1" x14ac:dyDescent="0.15"/>
    <row r="5898" hidden="1" x14ac:dyDescent="0.15"/>
    <row r="5899" hidden="1" x14ac:dyDescent="0.15"/>
    <row r="5900" hidden="1" x14ac:dyDescent="0.15"/>
    <row r="5901" hidden="1" x14ac:dyDescent="0.15"/>
    <row r="5902" hidden="1" x14ac:dyDescent="0.15"/>
    <row r="5903" hidden="1" x14ac:dyDescent="0.15"/>
    <row r="5904" hidden="1" x14ac:dyDescent="0.15"/>
    <row r="5905" hidden="1" x14ac:dyDescent="0.15"/>
    <row r="5906" hidden="1" x14ac:dyDescent="0.15"/>
    <row r="5907" hidden="1" x14ac:dyDescent="0.15"/>
    <row r="5908" hidden="1" x14ac:dyDescent="0.15"/>
    <row r="5909" hidden="1" x14ac:dyDescent="0.15"/>
    <row r="5910" hidden="1" x14ac:dyDescent="0.15"/>
    <row r="5911" hidden="1" x14ac:dyDescent="0.15"/>
    <row r="5912" hidden="1" x14ac:dyDescent="0.15"/>
    <row r="5913" hidden="1" x14ac:dyDescent="0.15"/>
    <row r="5914" hidden="1" x14ac:dyDescent="0.15"/>
    <row r="5915" hidden="1" x14ac:dyDescent="0.15"/>
    <row r="5916" hidden="1" x14ac:dyDescent="0.15"/>
    <row r="5917" hidden="1" x14ac:dyDescent="0.15"/>
    <row r="5918" hidden="1" x14ac:dyDescent="0.15"/>
    <row r="5919" hidden="1" x14ac:dyDescent="0.15"/>
    <row r="5920" hidden="1" x14ac:dyDescent="0.15"/>
    <row r="5921" hidden="1" x14ac:dyDescent="0.15"/>
    <row r="5922" hidden="1" x14ac:dyDescent="0.15"/>
    <row r="5923" hidden="1" x14ac:dyDescent="0.15"/>
    <row r="5924" hidden="1" x14ac:dyDescent="0.15"/>
    <row r="5925" hidden="1" x14ac:dyDescent="0.15"/>
    <row r="5926" hidden="1" x14ac:dyDescent="0.15"/>
    <row r="5927" hidden="1" x14ac:dyDescent="0.15"/>
    <row r="5928" hidden="1" x14ac:dyDescent="0.15"/>
    <row r="5929" hidden="1" x14ac:dyDescent="0.15"/>
    <row r="5930" hidden="1" x14ac:dyDescent="0.15"/>
    <row r="5931" hidden="1" x14ac:dyDescent="0.15"/>
    <row r="5932" hidden="1" x14ac:dyDescent="0.15"/>
    <row r="5933" hidden="1" x14ac:dyDescent="0.15"/>
    <row r="5934" hidden="1" x14ac:dyDescent="0.15"/>
    <row r="5935" hidden="1" x14ac:dyDescent="0.15"/>
    <row r="5936" hidden="1" x14ac:dyDescent="0.15"/>
    <row r="5937" hidden="1" x14ac:dyDescent="0.15"/>
    <row r="5938" hidden="1" x14ac:dyDescent="0.15"/>
    <row r="5939" hidden="1" x14ac:dyDescent="0.15"/>
    <row r="5940" hidden="1" x14ac:dyDescent="0.15"/>
    <row r="5941" hidden="1" x14ac:dyDescent="0.15"/>
    <row r="5942" hidden="1" x14ac:dyDescent="0.15"/>
    <row r="5943" hidden="1" x14ac:dyDescent="0.15"/>
    <row r="5944" hidden="1" x14ac:dyDescent="0.15"/>
    <row r="5945" hidden="1" x14ac:dyDescent="0.15"/>
    <row r="5946" hidden="1" x14ac:dyDescent="0.15"/>
    <row r="5947" hidden="1" x14ac:dyDescent="0.15"/>
    <row r="5948" hidden="1" x14ac:dyDescent="0.15"/>
    <row r="5949" hidden="1" x14ac:dyDescent="0.15"/>
    <row r="5950" hidden="1" x14ac:dyDescent="0.15"/>
    <row r="5951" hidden="1" x14ac:dyDescent="0.15"/>
    <row r="5952" hidden="1" x14ac:dyDescent="0.15"/>
    <row r="5953" hidden="1" x14ac:dyDescent="0.15"/>
    <row r="5954" hidden="1" x14ac:dyDescent="0.15"/>
    <row r="5955" hidden="1" x14ac:dyDescent="0.15"/>
    <row r="5956" hidden="1" x14ac:dyDescent="0.15"/>
    <row r="5957" hidden="1" x14ac:dyDescent="0.15"/>
    <row r="5958" hidden="1" x14ac:dyDescent="0.15"/>
    <row r="5959" hidden="1" x14ac:dyDescent="0.15"/>
    <row r="5960" hidden="1" x14ac:dyDescent="0.15"/>
    <row r="5961" hidden="1" x14ac:dyDescent="0.15"/>
    <row r="5962" hidden="1" x14ac:dyDescent="0.15"/>
    <row r="5963" hidden="1" x14ac:dyDescent="0.15"/>
    <row r="5964" hidden="1" x14ac:dyDescent="0.15"/>
    <row r="5965" hidden="1" x14ac:dyDescent="0.15"/>
    <row r="5966" hidden="1" x14ac:dyDescent="0.15"/>
    <row r="5967" hidden="1" x14ac:dyDescent="0.15"/>
    <row r="5968" hidden="1" x14ac:dyDescent="0.15"/>
    <row r="5969" hidden="1" x14ac:dyDescent="0.15"/>
    <row r="5970" hidden="1" x14ac:dyDescent="0.15"/>
    <row r="5971" hidden="1" x14ac:dyDescent="0.15"/>
    <row r="5972" hidden="1" x14ac:dyDescent="0.15"/>
    <row r="5973" hidden="1" x14ac:dyDescent="0.15"/>
    <row r="5974" hidden="1" x14ac:dyDescent="0.15"/>
    <row r="5975" hidden="1" x14ac:dyDescent="0.15"/>
    <row r="5976" hidden="1" x14ac:dyDescent="0.15"/>
    <row r="5977" hidden="1" x14ac:dyDescent="0.15"/>
    <row r="5978" hidden="1" x14ac:dyDescent="0.15"/>
    <row r="5979" hidden="1" x14ac:dyDescent="0.15"/>
    <row r="5980" hidden="1" x14ac:dyDescent="0.15"/>
    <row r="5981" hidden="1" x14ac:dyDescent="0.15"/>
    <row r="5982" hidden="1" x14ac:dyDescent="0.15"/>
    <row r="5983" hidden="1" x14ac:dyDescent="0.15"/>
    <row r="5984" hidden="1" x14ac:dyDescent="0.15"/>
    <row r="5985" hidden="1" x14ac:dyDescent="0.15"/>
    <row r="5986" hidden="1" x14ac:dyDescent="0.15"/>
    <row r="5987" hidden="1" x14ac:dyDescent="0.15"/>
    <row r="5988" hidden="1" x14ac:dyDescent="0.15"/>
    <row r="5989" hidden="1" x14ac:dyDescent="0.15"/>
    <row r="5990" hidden="1" x14ac:dyDescent="0.15"/>
    <row r="5991" hidden="1" x14ac:dyDescent="0.15"/>
    <row r="5992" hidden="1" x14ac:dyDescent="0.15"/>
    <row r="5993" hidden="1" x14ac:dyDescent="0.15"/>
    <row r="5994" hidden="1" x14ac:dyDescent="0.15"/>
    <row r="5995" hidden="1" x14ac:dyDescent="0.15"/>
    <row r="5996" hidden="1" x14ac:dyDescent="0.15"/>
    <row r="5997" hidden="1" x14ac:dyDescent="0.15"/>
    <row r="5998" hidden="1" x14ac:dyDescent="0.15"/>
    <row r="5999" hidden="1" x14ac:dyDescent="0.15"/>
    <row r="6000" hidden="1" x14ac:dyDescent="0.15"/>
    <row r="6001" hidden="1" x14ac:dyDescent="0.15"/>
    <row r="6002" hidden="1" x14ac:dyDescent="0.15"/>
    <row r="6003" hidden="1" x14ac:dyDescent="0.15"/>
    <row r="6004" hidden="1" x14ac:dyDescent="0.15"/>
    <row r="6005" hidden="1" x14ac:dyDescent="0.15"/>
    <row r="6006" hidden="1" x14ac:dyDescent="0.15"/>
    <row r="6007" hidden="1" x14ac:dyDescent="0.15"/>
    <row r="6008" hidden="1" x14ac:dyDescent="0.15"/>
    <row r="6009" hidden="1" x14ac:dyDescent="0.15"/>
    <row r="6010" hidden="1" x14ac:dyDescent="0.15"/>
    <row r="6011" hidden="1" x14ac:dyDescent="0.15"/>
    <row r="6012" hidden="1" x14ac:dyDescent="0.15"/>
    <row r="6013" hidden="1" x14ac:dyDescent="0.15"/>
    <row r="6014" hidden="1" x14ac:dyDescent="0.15"/>
    <row r="6015" hidden="1" x14ac:dyDescent="0.15"/>
    <row r="6016" hidden="1" x14ac:dyDescent="0.15"/>
    <row r="6017" hidden="1" x14ac:dyDescent="0.15"/>
    <row r="6018" hidden="1" x14ac:dyDescent="0.15"/>
    <row r="6019" hidden="1" x14ac:dyDescent="0.15"/>
    <row r="6020" hidden="1" x14ac:dyDescent="0.15"/>
    <row r="6021" hidden="1" x14ac:dyDescent="0.15"/>
    <row r="6022" hidden="1" x14ac:dyDescent="0.15"/>
    <row r="6023" hidden="1" x14ac:dyDescent="0.15"/>
    <row r="6024" hidden="1" x14ac:dyDescent="0.15"/>
    <row r="6025" hidden="1" x14ac:dyDescent="0.15"/>
    <row r="6026" hidden="1" x14ac:dyDescent="0.15"/>
    <row r="6027" hidden="1" x14ac:dyDescent="0.15"/>
    <row r="6028" hidden="1" x14ac:dyDescent="0.15"/>
    <row r="6029" hidden="1" x14ac:dyDescent="0.15"/>
    <row r="6030" hidden="1" x14ac:dyDescent="0.15"/>
    <row r="6031" hidden="1" x14ac:dyDescent="0.15"/>
    <row r="6032" hidden="1" x14ac:dyDescent="0.15"/>
    <row r="6033" hidden="1" x14ac:dyDescent="0.15"/>
    <row r="6034" hidden="1" x14ac:dyDescent="0.15"/>
    <row r="6035" hidden="1" x14ac:dyDescent="0.15"/>
    <row r="6036" hidden="1" x14ac:dyDescent="0.15"/>
    <row r="6037" hidden="1" x14ac:dyDescent="0.15"/>
    <row r="6038" hidden="1" x14ac:dyDescent="0.15"/>
    <row r="6039" hidden="1" x14ac:dyDescent="0.15"/>
    <row r="6040" hidden="1" x14ac:dyDescent="0.15"/>
    <row r="6041" hidden="1" x14ac:dyDescent="0.15"/>
    <row r="6042" hidden="1" x14ac:dyDescent="0.15"/>
    <row r="6043" hidden="1" x14ac:dyDescent="0.15"/>
    <row r="6044" hidden="1" x14ac:dyDescent="0.15"/>
    <row r="6045" hidden="1" x14ac:dyDescent="0.15"/>
    <row r="6046" hidden="1" x14ac:dyDescent="0.15"/>
    <row r="6047" hidden="1" x14ac:dyDescent="0.15"/>
    <row r="6048" hidden="1" x14ac:dyDescent="0.15"/>
    <row r="6049" hidden="1" x14ac:dyDescent="0.15"/>
    <row r="6050" hidden="1" x14ac:dyDescent="0.15"/>
    <row r="6051" hidden="1" x14ac:dyDescent="0.15"/>
    <row r="6052" hidden="1" x14ac:dyDescent="0.15"/>
    <row r="6053" hidden="1" x14ac:dyDescent="0.15"/>
    <row r="6054" hidden="1" x14ac:dyDescent="0.15"/>
    <row r="6055" hidden="1" x14ac:dyDescent="0.15"/>
    <row r="6056" hidden="1" x14ac:dyDescent="0.15"/>
    <row r="6057" hidden="1" x14ac:dyDescent="0.15"/>
    <row r="6058" hidden="1" x14ac:dyDescent="0.15"/>
    <row r="6059" hidden="1" x14ac:dyDescent="0.15"/>
    <row r="6060" hidden="1" x14ac:dyDescent="0.15"/>
    <row r="6061" hidden="1" x14ac:dyDescent="0.15"/>
    <row r="6062" hidden="1" x14ac:dyDescent="0.15"/>
    <row r="6063" hidden="1" x14ac:dyDescent="0.15"/>
    <row r="6064" hidden="1" x14ac:dyDescent="0.15"/>
    <row r="6065" hidden="1" x14ac:dyDescent="0.15"/>
    <row r="6066" hidden="1" x14ac:dyDescent="0.15"/>
    <row r="6067" hidden="1" x14ac:dyDescent="0.15"/>
    <row r="6068" hidden="1" x14ac:dyDescent="0.15"/>
    <row r="6069" hidden="1" x14ac:dyDescent="0.15"/>
    <row r="6070" hidden="1" x14ac:dyDescent="0.15"/>
    <row r="6071" hidden="1" x14ac:dyDescent="0.15"/>
    <row r="6072" hidden="1" x14ac:dyDescent="0.15"/>
    <row r="6073" hidden="1" x14ac:dyDescent="0.15"/>
    <row r="6074" hidden="1" x14ac:dyDescent="0.15"/>
    <row r="6075" hidden="1" x14ac:dyDescent="0.15"/>
    <row r="6076" hidden="1" x14ac:dyDescent="0.15"/>
    <row r="6077" hidden="1" x14ac:dyDescent="0.15"/>
    <row r="6078" hidden="1" x14ac:dyDescent="0.15"/>
    <row r="6079" hidden="1" x14ac:dyDescent="0.15"/>
    <row r="6080" hidden="1" x14ac:dyDescent="0.15"/>
    <row r="6081" hidden="1" x14ac:dyDescent="0.15"/>
    <row r="6082" hidden="1" x14ac:dyDescent="0.15"/>
    <row r="6083" hidden="1" x14ac:dyDescent="0.15"/>
    <row r="6084" hidden="1" x14ac:dyDescent="0.15"/>
    <row r="6085" hidden="1" x14ac:dyDescent="0.15"/>
    <row r="6086" hidden="1" x14ac:dyDescent="0.15"/>
    <row r="6087" hidden="1" x14ac:dyDescent="0.15"/>
    <row r="6088" hidden="1" x14ac:dyDescent="0.15"/>
    <row r="6089" hidden="1" x14ac:dyDescent="0.15"/>
    <row r="6090" hidden="1" x14ac:dyDescent="0.15"/>
    <row r="6091" hidden="1" x14ac:dyDescent="0.15"/>
    <row r="6092" hidden="1" x14ac:dyDescent="0.15"/>
    <row r="6093" hidden="1" x14ac:dyDescent="0.15"/>
    <row r="6094" hidden="1" x14ac:dyDescent="0.15"/>
    <row r="6095" hidden="1" x14ac:dyDescent="0.15"/>
    <row r="6096" hidden="1" x14ac:dyDescent="0.15"/>
    <row r="6097" hidden="1" x14ac:dyDescent="0.15"/>
    <row r="6098" hidden="1" x14ac:dyDescent="0.15"/>
    <row r="6099" hidden="1" x14ac:dyDescent="0.15"/>
    <row r="6100" hidden="1" x14ac:dyDescent="0.15"/>
    <row r="6101" hidden="1" x14ac:dyDescent="0.15"/>
    <row r="6102" hidden="1" x14ac:dyDescent="0.15"/>
    <row r="6103" hidden="1" x14ac:dyDescent="0.15"/>
    <row r="6104" hidden="1" x14ac:dyDescent="0.15"/>
    <row r="6105" hidden="1" x14ac:dyDescent="0.15"/>
    <row r="6106" hidden="1" x14ac:dyDescent="0.15"/>
    <row r="6107" hidden="1" x14ac:dyDescent="0.15"/>
    <row r="6108" hidden="1" x14ac:dyDescent="0.15"/>
    <row r="6109" hidden="1" x14ac:dyDescent="0.15"/>
    <row r="6110" hidden="1" x14ac:dyDescent="0.15"/>
    <row r="6111" hidden="1" x14ac:dyDescent="0.15"/>
    <row r="6112" hidden="1" x14ac:dyDescent="0.15"/>
    <row r="6113" hidden="1" x14ac:dyDescent="0.15"/>
    <row r="6114" hidden="1" x14ac:dyDescent="0.15"/>
    <row r="6115" hidden="1" x14ac:dyDescent="0.15"/>
    <row r="6116" hidden="1" x14ac:dyDescent="0.15"/>
    <row r="6117" hidden="1" x14ac:dyDescent="0.15"/>
    <row r="6118" hidden="1" x14ac:dyDescent="0.15"/>
    <row r="6119" hidden="1" x14ac:dyDescent="0.15"/>
    <row r="6120" hidden="1" x14ac:dyDescent="0.15"/>
    <row r="6121" hidden="1" x14ac:dyDescent="0.15"/>
    <row r="6122" hidden="1" x14ac:dyDescent="0.15"/>
    <row r="6123" hidden="1" x14ac:dyDescent="0.15"/>
    <row r="6124" hidden="1" x14ac:dyDescent="0.15"/>
    <row r="6125" hidden="1" x14ac:dyDescent="0.15"/>
    <row r="6126" hidden="1" x14ac:dyDescent="0.15"/>
    <row r="6127" hidden="1" x14ac:dyDescent="0.15"/>
    <row r="6128" hidden="1" x14ac:dyDescent="0.15"/>
    <row r="6129" hidden="1" x14ac:dyDescent="0.15"/>
    <row r="6130" hidden="1" x14ac:dyDescent="0.15"/>
    <row r="6131" hidden="1" x14ac:dyDescent="0.15"/>
    <row r="6132" hidden="1" x14ac:dyDescent="0.15"/>
    <row r="6133" hidden="1" x14ac:dyDescent="0.15"/>
    <row r="6134" hidden="1" x14ac:dyDescent="0.15"/>
    <row r="6135" hidden="1" x14ac:dyDescent="0.15"/>
    <row r="6136" hidden="1" x14ac:dyDescent="0.15"/>
    <row r="6137" hidden="1" x14ac:dyDescent="0.15"/>
    <row r="6138" hidden="1" x14ac:dyDescent="0.15"/>
    <row r="6139" hidden="1" x14ac:dyDescent="0.15"/>
    <row r="6140" hidden="1" x14ac:dyDescent="0.15"/>
    <row r="6141" hidden="1" x14ac:dyDescent="0.15"/>
    <row r="6142" hidden="1" x14ac:dyDescent="0.15"/>
    <row r="6143" hidden="1" x14ac:dyDescent="0.15"/>
    <row r="6144" hidden="1" x14ac:dyDescent="0.15"/>
    <row r="6145" hidden="1" x14ac:dyDescent="0.15"/>
    <row r="6146" hidden="1" x14ac:dyDescent="0.15"/>
    <row r="6147" hidden="1" x14ac:dyDescent="0.15"/>
    <row r="6148" hidden="1" x14ac:dyDescent="0.15"/>
    <row r="6149" hidden="1" x14ac:dyDescent="0.15"/>
    <row r="6150" hidden="1" x14ac:dyDescent="0.15"/>
    <row r="6151" hidden="1" x14ac:dyDescent="0.15"/>
    <row r="6152" hidden="1" x14ac:dyDescent="0.15"/>
    <row r="6153" hidden="1" x14ac:dyDescent="0.15"/>
    <row r="6154" hidden="1" x14ac:dyDescent="0.15"/>
    <row r="6155" hidden="1" x14ac:dyDescent="0.15"/>
    <row r="6156" hidden="1" x14ac:dyDescent="0.15"/>
    <row r="6157" hidden="1" x14ac:dyDescent="0.15"/>
    <row r="6158" hidden="1" x14ac:dyDescent="0.15"/>
    <row r="6159" hidden="1" x14ac:dyDescent="0.15"/>
    <row r="6160" hidden="1" x14ac:dyDescent="0.15"/>
    <row r="6161" hidden="1" x14ac:dyDescent="0.15"/>
    <row r="6162" hidden="1" x14ac:dyDescent="0.15"/>
    <row r="6163" hidden="1" x14ac:dyDescent="0.15"/>
    <row r="6164" hidden="1" x14ac:dyDescent="0.15"/>
    <row r="6165" hidden="1" x14ac:dyDescent="0.15"/>
    <row r="6166" hidden="1" x14ac:dyDescent="0.15"/>
    <row r="6167" hidden="1" x14ac:dyDescent="0.15"/>
    <row r="6168" hidden="1" x14ac:dyDescent="0.15"/>
    <row r="6169" hidden="1" x14ac:dyDescent="0.15"/>
    <row r="6170" hidden="1" x14ac:dyDescent="0.15"/>
    <row r="6171" hidden="1" x14ac:dyDescent="0.15"/>
    <row r="6172" hidden="1" x14ac:dyDescent="0.15"/>
    <row r="6173" hidden="1" x14ac:dyDescent="0.15"/>
    <row r="6174" hidden="1" x14ac:dyDescent="0.15"/>
    <row r="6175" hidden="1" x14ac:dyDescent="0.15"/>
    <row r="6176" hidden="1" x14ac:dyDescent="0.15"/>
    <row r="6177" hidden="1" x14ac:dyDescent="0.15"/>
    <row r="6178" hidden="1" x14ac:dyDescent="0.15"/>
    <row r="6179" hidden="1" x14ac:dyDescent="0.15"/>
    <row r="6180" hidden="1" x14ac:dyDescent="0.15"/>
    <row r="6181" hidden="1" x14ac:dyDescent="0.15"/>
    <row r="6182" hidden="1" x14ac:dyDescent="0.15"/>
    <row r="6183" hidden="1" x14ac:dyDescent="0.15"/>
    <row r="6184" hidden="1" x14ac:dyDescent="0.15"/>
    <row r="6185" hidden="1" x14ac:dyDescent="0.15"/>
    <row r="6186" hidden="1" x14ac:dyDescent="0.15"/>
    <row r="6187" hidden="1" x14ac:dyDescent="0.15"/>
    <row r="6188" hidden="1" x14ac:dyDescent="0.15"/>
    <row r="6189" hidden="1" x14ac:dyDescent="0.15"/>
    <row r="6190" hidden="1" x14ac:dyDescent="0.15"/>
    <row r="6191" hidden="1" x14ac:dyDescent="0.15"/>
    <row r="6192" hidden="1" x14ac:dyDescent="0.15"/>
    <row r="6193" hidden="1" x14ac:dyDescent="0.15"/>
    <row r="6194" hidden="1" x14ac:dyDescent="0.15"/>
    <row r="6195" hidden="1" x14ac:dyDescent="0.15"/>
    <row r="6196" hidden="1" x14ac:dyDescent="0.15"/>
    <row r="6197" hidden="1" x14ac:dyDescent="0.15"/>
    <row r="6198" hidden="1" x14ac:dyDescent="0.15"/>
    <row r="6199" hidden="1" x14ac:dyDescent="0.15"/>
    <row r="6200" hidden="1" x14ac:dyDescent="0.15"/>
    <row r="6201" hidden="1" x14ac:dyDescent="0.15"/>
    <row r="6202" hidden="1" x14ac:dyDescent="0.15"/>
    <row r="6203" hidden="1" x14ac:dyDescent="0.15"/>
    <row r="6204" hidden="1" x14ac:dyDescent="0.15"/>
    <row r="6205" hidden="1" x14ac:dyDescent="0.15"/>
    <row r="6206" hidden="1" x14ac:dyDescent="0.15"/>
    <row r="6207" hidden="1" x14ac:dyDescent="0.15"/>
    <row r="6208" hidden="1" x14ac:dyDescent="0.15"/>
    <row r="6209" hidden="1" x14ac:dyDescent="0.15"/>
    <row r="6210" hidden="1" x14ac:dyDescent="0.15"/>
    <row r="6211" hidden="1" x14ac:dyDescent="0.15"/>
    <row r="6212" hidden="1" x14ac:dyDescent="0.15"/>
    <row r="6213" hidden="1" x14ac:dyDescent="0.15"/>
    <row r="6214" hidden="1" x14ac:dyDescent="0.15"/>
    <row r="6215" hidden="1" x14ac:dyDescent="0.15"/>
    <row r="6216" hidden="1" x14ac:dyDescent="0.15"/>
    <row r="6217" hidden="1" x14ac:dyDescent="0.15"/>
    <row r="6218" hidden="1" x14ac:dyDescent="0.15"/>
    <row r="6219" hidden="1" x14ac:dyDescent="0.15"/>
    <row r="6220" hidden="1" x14ac:dyDescent="0.15"/>
    <row r="6221" hidden="1" x14ac:dyDescent="0.15"/>
    <row r="6222" hidden="1" x14ac:dyDescent="0.15"/>
    <row r="6223" hidden="1" x14ac:dyDescent="0.15"/>
    <row r="6224" hidden="1" x14ac:dyDescent="0.15"/>
    <row r="6225" hidden="1" x14ac:dyDescent="0.15"/>
    <row r="6226" hidden="1" x14ac:dyDescent="0.15"/>
    <row r="6227" hidden="1" x14ac:dyDescent="0.15"/>
    <row r="6228" hidden="1" x14ac:dyDescent="0.15"/>
    <row r="6229" hidden="1" x14ac:dyDescent="0.15"/>
    <row r="6230" hidden="1" x14ac:dyDescent="0.15"/>
    <row r="6231" hidden="1" x14ac:dyDescent="0.15"/>
    <row r="6232" hidden="1" x14ac:dyDescent="0.15"/>
    <row r="6233" hidden="1" x14ac:dyDescent="0.15"/>
    <row r="6234" hidden="1" x14ac:dyDescent="0.15"/>
    <row r="6235" hidden="1" x14ac:dyDescent="0.15"/>
    <row r="6236" hidden="1" x14ac:dyDescent="0.15"/>
    <row r="6237" hidden="1" x14ac:dyDescent="0.15"/>
    <row r="6238" hidden="1" x14ac:dyDescent="0.15"/>
    <row r="6239" hidden="1" x14ac:dyDescent="0.15"/>
    <row r="6240" hidden="1" x14ac:dyDescent="0.15"/>
    <row r="6241" hidden="1" x14ac:dyDescent="0.15"/>
    <row r="6242" hidden="1" x14ac:dyDescent="0.15"/>
    <row r="6243" hidden="1" x14ac:dyDescent="0.15"/>
    <row r="6244" hidden="1" x14ac:dyDescent="0.15"/>
    <row r="6245" hidden="1" x14ac:dyDescent="0.15"/>
    <row r="6246" hidden="1" x14ac:dyDescent="0.15"/>
    <row r="6247" hidden="1" x14ac:dyDescent="0.15"/>
    <row r="6248" hidden="1" x14ac:dyDescent="0.15"/>
    <row r="6249" hidden="1" x14ac:dyDescent="0.15"/>
    <row r="6250" hidden="1" x14ac:dyDescent="0.15"/>
    <row r="6251" hidden="1" x14ac:dyDescent="0.15"/>
    <row r="6252" hidden="1" x14ac:dyDescent="0.15"/>
    <row r="6253" hidden="1" x14ac:dyDescent="0.15"/>
    <row r="6254" hidden="1" x14ac:dyDescent="0.15"/>
    <row r="6255" hidden="1" x14ac:dyDescent="0.15"/>
    <row r="6256" hidden="1" x14ac:dyDescent="0.15"/>
    <row r="6257" hidden="1" x14ac:dyDescent="0.15"/>
    <row r="6258" hidden="1" x14ac:dyDescent="0.15"/>
    <row r="6259" hidden="1" x14ac:dyDescent="0.15"/>
    <row r="6260" hidden="1" x14ac:dyDescent="0.15"/>
    <row r="6261" hidden="1" x14ac:dyDescent="0.15"/>
    <row r="6262" hidden="1" x14ac:dyDescent="0.15"/>
    <row r="6263" hidden="1" x14ac:dyDescent="0.15"/>
    <row r="6264" hidden="1" x14ac:dyDescent="0.15"/>
    <row r="6265" hidden="1" x14ac:dyDescent="0.15"/>
    <row r="6266" hidden="1" x14ac:dyDescent="0.15"/>
    <row r="6267" hidden="1" x14ac:dyDescent="0.15"/>
    <row r="6268" hidden="1" x14ac:dyDescent="0.15"/>
    <row r="6269" hidden="1" x14ac:dyDescent="0.15"/>
    <row r="6270" hidden="1" x14ac:dyDescent="0.15"/>
    <row r="6271" hidden="1" x14ac:dyDescent="0.15"/>
    <row r="6272" hidden="1" x14ac:dyDescent="0.15"/>
    <row r="6273" hidden="1" x14ac:dyDescent="0.15"/>
    <row r="6274" hidden="1" x14ac:dyDescent="0.15"/>
    <row r="6275" hidden="1" x14ac:dyDescent="0.15"/>
    <row r="6276" hidden="1" x14ac:dyDescent="0.15"/>
    <row r="6277" hidden="1" x14ac:dyDescent="0.15"/>
    <row r="6278" hidden="1" x14ac:dyDescent="0.15"/>
    <row r="6279" hidden="1" x14ac:dyDescent="0.15"/>
    <row r="6280" hidden="1" x14ac:dyDescent="0.15"/>
    <row r="6281" hidden="1" x14ac:dyDescent="0.15"/>
    <row r="6282" hidden="1" x14ac:dyDescent="0.15"/>
    <row r="6283" hidden="1" x14ac:dyDescent="0.15"/>
    <row r="6284" hidden="1" x14ac:dyDescent="0.15"/>
    <row r="6285" hidden="1" x14ac:dyDescent="0.15"/>
    <row r="6286" hidden="1" x14ac:dyDescent="0.15"/>
    <row r="6287" hidden="1" x14ac:dyDescent="0.15"/>
    <row r="6288" hidden="1" x14ac:dyDescent="0.15"/>
    <row r="6289" hidden="1" x14ac:dyDescent="0.15"/>
    <row r="6290" hidden="1" x14ac:dyDescent="0.15"/>
    <row r="6291" hidden="1" x14ac:dyDescent="0.15"/>
    <row r="6292" hidden="1" x14ac:dyDescent="0.15"/>
    <row r="6293" hidden="1" x14ac:dyDescent="0.15"/>
    <row r="6294" hidden="1" x14ac:dyDescent="0.15"/>
    <row r="6295" hidden="1" x14ac:dyDescent="0.15"/>
    <row r="6296" hidden="1" x14ac:dyDescent="0.15"/>
    <row r="6297" hidden="1" x14ac:dyDescent="0.15"/>
    <row r="6298" hidden="1" x14ac:dyDescent="0.15"/>
    <row r="6299" hidden="1" x14ac:dyDescent="0.15"/>
    <row r="6300" hidden="1" x14ac:dyDescent="0.15"/>
    <row r="6301" hidden="1" x14ac:dyDescent="0.15"/>
    <row r="6302" hidden="1" x14ac:dyDescent="0.15"/>
    <row r="6303" hidden="1" x14ac:dyDescent="0.15"/>
    <row r="6304" hidden="1" x14ac:dyDescent="0.15"/>
    <row r="6305" hidden="1" x14ac:dyDescent="0.15"/>
    <row r="6306" hidden="1" x14ac:dyDescent="0.15"/>
    <row r="6307" hidden="1" x14ac:dyDescent="0.15"/>
    <row r="6308" hidden="1" x14ac:dyDescent="0.15"/>
    <row r="6309" hidden="1" x14ac:dyDescent="0.15"/>
    <row r="6310" hidden="1" x14ac:dyDescent="0.15"/>
    <row r="6311" hidden="1" x14ac:dyDescent="0.15"/>
    <row r="6312" hidden="1" x14ac:dyDescent="0.15"/>
    <row r="6313" hidden="1" x14ac:dyDescent="0.15"/>
    <row r="6314" hidden="1" x14ac:dyDescent="0.15"/>
    <row r="6315" hidden="1" x14ac:dyDescent="0.15"/>
    <row r="6316" hidden="1" x14ac:dyDescent="0.15"/>
    <row r="6317" hidden="1" x14ac:dyDescent="0.15"/>
    <row r="6318" hidden="1" x14ac:dyDescent="0.15"/>
    <row r="6319" hidden="1" x14ac:dyDescent="0.15"/>
    <row r="6320" hidden="1" x14ac:dyDescent="0.15"/>
    <row r="6321" hidden="1" x14ac:dyDescent="0.15"/>
    <row r="6322" hidden="1" x14ac:dyDescent="0.15"/>
    <row r="6323" hidden="1" x14ac:dyDescent="0.15"/>
    <row r="6324" hidden="1" x14ac:dyDescent="0.15"/>
    <row r="6325" hidden="1" x14ac:dyDescent="0.15"/>
    <row r="6326" hidden="1" x14ac:dyDescent="0.15"/>
    <row r="6327" hidden="1" x14ac:dyDescent="0.15"/>
    <row r="6328" hidden="1" x14ac:dyDescent="0.15"/>
    <row r="6329" hidden="1" x14ac:dyDescent="0.15"/>
    <row r="6330" hidden="1" x14ac:dyDescent="0.15"/>
    <row r="6331" hidden="1" x14ac:dyDescent="0.15"/>
    <row r="6332" hidden="1" x14ac:dyDescent="0.15"/>
    <row r="6333" hidden="1" x14ac:dyDescent="0.15"/>
    <row r="6334" hidden="1" x14ac:dyDescent="0.15"/>
    <row r="6335" hidden="1" x14ac:dyDescent="0.15"/>
    <row r="6336" hidden="1" x14ac:dyDescent="0.15"/>
    <row r="6337" hidden="1" x14ac:dyDescent="0.15"/>
    <row r="6338" hidden="1" x14ac:dyDescent="0.15"/>
    <row r="6339" hidden="1" x14ac:dyDescent="0.15"/>
    <row r="6340" hidden="1" x14ac:dyDescent="0.15"/>
    <row r="6341" hidden="1" x14ac:dyDescent="0.15"/>
    <row r="6342" hidden="1" x14ac:dyDescent="0.15"/>
    <row r="6343" hidden="1" x14ac:dyDescent="0.15"/>
    <row r="6344" hidden="1" x14ac:dyDescent="0.15"/>
    <row r="6345" hidden="1" x14ac:dyDescent="0.15"/>
    <row r="6346" hidden="1" x14ac:dyDescent="0.15"/>
    <row r="6347" hidden="1" x14ac:dyDescent="0.15"/>
    <row r="6348" hidden="1" x14ac:dyDescent="0.15"/>
    <row r="6349" hidden="1" x14ac:dyDescent="0.15"/>
    <row r="6350" hidden="1" x14ac:dyDescent="0.15"/>
    <row r="6351" hidden="1" x14ac:dyDescent="0.15"/>
    <row r="6352" hidden="1" x14ac:dyDescent="0.15"/>
    <row r="6353" hidden="1" x14ac:dyDescent="0.15"/>
    <row r="6354" hidden="1" x14ac:dyDescent="0.15"/>
    <row r="6355" hidden="1" x14ac:dyDescent="0.15"/>
    <row r="6356" hidden="1" x14ac:dyDescent="0.15"/>
    <row r="6357" hidden="1" x14ac:dyDescent="0.15"/>
    <row r="6358" hidden="1" x14ac:dyDescent="0.15"/>
    <row r="6359" hidden="1" x14ac:dyDescent="0.15"/>
    <row r="6360" hidden="1" x14ac:dyDescent="0.15"/>
    <row r="6361" hidden="1" x14ac:dyDescent="0.15"/>
    <row r="6362" hidden="1" x14ac:dyDescent="0.15"/>
    <row r="6363" hidden="1" x14ac:dyDescent="0.15"/>
    <row r="6364" hidden="1" x14ac:dyDescent="0.15"/>
    <row r="6365" hidden="1" x14ac:dyDescent="0.15"/>
    <row r="6366" hidden="1" x14ac:dyDescent="0.15"/>
    <row r="6367" hidden="1" x14ac:dyDescent="0.15"/>
    <row r="6368" hidden="1" x14ac:dyDescent="0.15"/>
    <row r="6369" hidden="1" x14ac:dyDescent="0.15"/>
    <row r="6370" hidden="1" x14ac:dyDescent="0.15"/>
    <row r="6371" hidden="1" x14ac:dyDescent="0.15"/>
    <row r="6372" hidden="1" x14ac:dyDescent="0.15"/>
    <row r="6373" hidden="1" x14ac:dyDescent="0.15"/>
    <row r="6374" hidden="1" x14ac:dyDescent="0.15"/>
    <row r="6375" hidden="1" x14ac:dyDescent="0.15"/>
    <row r="6376" hidden="1" x14ac:dyDescent="0.15"/>
    <row r="6377" hidden="1" x14ac:dyDescent="0.15"/>
    <row r="6378" hidden="1" x14ac:dyDescent="0.15"/>
    <row r="6379" hidden="1" x14ac:dyDescent="0.15"/>
    <row r="6380" hidden="1" x14ac:dyDescent="0.15"/>
    <row r="6381" hidden="1" x14ac:dyDescent="0.15"/>
    <row r="6382" hidden="1" x14ac:dyDescent="0.15"/>
    <row r="6383" hidden="1" x14ac:dyDescent="0.15"/>
    <row r="6384" hidden="1" x14ac:dyDescent="0.15"/>
    <row r="6385" hidden="1" x14ac:dyDescent="0.15"/>
    <row r="6386" hidden="1" x14ac:dyDescent="0.15"/>
    <row r="6387" hidden="1" x14ac:dyDescent="0.15"/>
    <row r="6388" hidden="1" x14ac:dyDescent="0.15"/>
    <row r="6389" hidden="1" x14ac:dyDescent="0.15"/>
    <row r="6390" hidden="1" x14ac:dyDescent="0.15"/>
    <row r="6391" hidden="1" x14ac:dyDescent="0.15"/>
    <row r="6392" hidden="1" x14ac:dyDescent="0.15"/>
    <row r="6393" hidden="1" x14ac:dyDescent="0.15"/>
    <row r="6394" hidden="1" x14ac:dyDescent="0.15"/>
    <row r="6395" hidden="1" x14ac:dyDescent="0.15"/>
    <row r="6396" hidden="1" x14ac:dyDescent="0.15"/>
    <row r="6397" hidden="1" x14ac:dyDescent="0.15"/>
    <row r="6398" hidden="1" x14ac:dyDescent="0.15"/>
    <row r="6399" hidden="1" x14ac:dyDescent="0.15"/>
    <row r="6400" hidden="1" x14ac:dyDescent="0.15"/>
    <row r="6401" hidden="1" x14ac:dyDescent="0.15"/>
    <row r="6402" hidden="1" x14ac:dyDescent="0.15"/>
    <row r="6403" hidden="1" x14ac:dyDescent="0.15"/>
    <row r="6404" hidden="1" x14ac:dyDescent="0.15"/>
    <row r="6405" hidden="1" x14ac:dyDescent="0.15"/>
    <row r="6406" hidden="1" x14ac:dyDescent="0.15"/>
    <row r="6407" hidden="1" x14ac:dyDescent="0.15"/>
    <row r="6408" hidden="1" x14ac:dyDescent="0.15"/>
    <row r="6409" hidden="1" x14ac:dyDescent="0.15"/>
    <row r="6410" hidden="1" x14ac:dyDescent="0.15"/>
    <row r="6411" hidden="1" x14ac:dyDescent="0.15"/>
    <row r="6412" hidden="1" x14ac:dyDescent="0.15"/>
    <row r="6413" hidden="1" x14ac:dyDescent="0.15"/>
    <row r="6414" hidden="1" x14ac:dyDescent="0.15"/>
    <row r="6415" hidden="1" x14ac:dyDescent="0.15"/>
    <row r="6416" hidden="1" x14ac:dyDescent="0.15"/>
    <row r="6417" hidden="1" x14ac:dyDescent="0.15"/>
    <row r="6418" hidden="1" x14ac:dyDescent="0.15"/>
    <row r="6419" hidden="1" x14ac:dyDescent="0.15"/>
    <row r="6420" hidden="1" x14ac:dyDescent="0.15"/>
    <row r="6421" hidden="1" x14ac:dyDescent="0.15"/>
    <row r="6422" hidden="1" x14ac:dyDescent="0.15"/>
    <row r="6423" hidden="1" x14ac:dyDescent="0.15"/>
    <row r="6424" hidden="1" x14ac:dyDescent="0.15"/>
    <row r="6425" hidden="1" x14ac:dyDescent="0.15"/>
    <row r="6426" hidden="1" x14ac:dyDescent="0.15"/>
    <row r="6427" hidden="1" x14ac:dyDescent="0.15"/>
    <row r="6428" hidden="1" x14ac:dyDescent="0.15"/>
    <row r="6429" hidden="1" x14ac:dyDescent="0.15"/>
    <row r="6430" hidden="1" x14ac:dyDescent="0.15"/>
    <row r="6431" hidden="1" x14ac:dyDescent="0.15"/>
    <row r="6432" hidden="1" x14ac:dyDescent="0.15"/>
    <row r="6433" hidden="1" x14ac:dyDescent="0.15"/>
    <row r="6434" hidden="1" x14ac:dyDescent="0.15"/>
    <row r="6435" hidden="1" x14ac:dyDescent="0.15"/>
    <row r="6436" hidden="1" x14ac:dyDescent="0.15"/>
    <row r="6437" hidden="1" x14ac:dyDescent="0.15"/>
    <row r="6438" hidden="1" x14ac:dyDescent="0.15"/>
    <row r="6439" hidden="1" x14ac:dyDescent="0.15"/>
    <row r="6440" hidden="1" x14ac:dyDescent="0.15"/>
    <row r="6441" hidden="1" x14ac:dyDescent="0.15"/>
    <row r="6442" hidden="1" x14ac:dyDescent="0.15"/>
    <row r="6443" hidden="1" x14ac:dyDescent="0.15"/>
    <row r="6444" hidden="1" x14ac:dyDescent="0.15"/>
    <row r="6445" hidden="1" x14ac:dyDescent="0.15"/>
    <row r="6446" hidden="1" x14ac:dyDescent="0.15"/>
    <row r="6447" hidden="1" x14ac:dyDescent="0.15"/>
    <row r="6448" hidden="1" x14ac:dyDescent="0.15"/>
    <row r="6449" hidden="1" x14ac:dyDescent="0.15"/>
    <row r="6450" hidden="1" x14ac:dyDescent="0.15"/>
    <row r="6451" hidden="1" x14ac:dyDescent="0.15"/>
    <row r="6452" hidden="1" x14ac:dyDescent="0.15"/>
    <row r="6453" hidden="1" x14ac:dyDescent="0.15"/>
    <row r="6454" hidden="1" x14ac:dyDescent="0.15"/>
    <row r="6455" hidden="1" x14ac:dyDescent="0.15"/>
    <row r="6456" hidden="1" x14ac:dyDescent="0.15"/>
    <row r="6457" hidden="1" x14ac:dyDescent="0.15"/>
    <row r="6458" hidden="1" x14ac:dyDescent="0.15"/>
    <row r="6459" hidden="1" x14ac:dyDescent="0.15"/>
    <row r="6460" hidden="1" x14ac:dyDescent="0.15"/>
    <row r="6461" hidden="1" x14ac:dyDescent="0.15"/>
    <row r="6462" hidden="1" x14ac:dyDescent="0.15"/>
    <row r="6463" hidden="1" x14ac:dyDescent="0.15"/>
    <row r="6464" hidden="1" x14ac:dyDescent="0.15"/>
    <row r="6465" hidden="1" x14ac:dyDescent="0.15"/>
    <row r="6466" hidden="1" x14ac:dyDescent="0.15"/>
    <row r="6467" hidden="1" x14ac:dyDescent="0.15"/>
    <row r="6468" hidden="1" x14ac:dyDescent="0.15"/>
    <row r="6469" hidden="1" x14ac:dyDescent="0.15"/>
    <row r="6470" hidden="1" x14ac:dyDescent="0.15"/>
    <row r="6471" hidden="1" x14ac:dyDescent="0.15"/>
    <row r="6472" hidden="1" x14ac:dyDescent="0.15"/>
    <row r="6473" hidden="1" x14ac:dyDescent="0.15"/>
    <row r="6474" hidden="1" x14ac:dyDescent="0.15"/>
    <row r="6475" hidden="1" x14ac:dyDescent="0.15"/>
    <row r="6476" hidden="1" x14ac:dyDescent="0.15"/>
    <row r="6477" hidden="1" x14ac:dyDescent="0.15"/>
    <row r="6478" hidden="1" x14ac:dyDescent="0.15"/>
    <row r="6479" hidden="1" x14ac:dyDescent="0.15"/>
    <row r="6480" hidden="1" x14ac:dyDescent="0.15"/>
    <row r="6481" hidden="1" x14ac:dyDescent="0.15"/>
    <row r="6482" hidden="1" x14ac:dyDescent="0.15"/>
    <row r="6483" hidden="1" x14ac:dyDescent="0.15"/>
    <row r="6484" hidden="1" x14ac:dyDescent="0.15"/>
    <row r="6485" hidden="1" x14ac:dyDescent="0.15"/>
    <row r="6486" hidden="1" x14ac:dyDescent="0.15"/>
    <row r="6487" hidden="1" x14ac:dyDescent="0.15"/>
    <row r="6488" hidden="1" x14ac:dyDescent="0.15"/>
    <row r="6489" hidden="1" x14ac:dyDescent="0.15"/>
    <row r="6490" hidden="1" x14ac:dyDescent="0.15"/>
    <row r="6491" hidden="1" x14ac:dyDescent="0.15"/>
    <row r="6492" hidden="1" x14ac:dyDescent="0.15"/>
    <row r="6493" hidden="1" x14ac:dyDescent="0.15"/>
    <row r="6494" hidden="1" x14ac:dyDescent="0.15"/>
    <row r="6495" hidden="1" x14ac:dyDescent="0.15"/>
    <row r="6496" hidden="1" x14ac:dyDescent="0.15"/>
    <row r="6497" hidden="1" x14ac:dyDescent="0.15"/>
    <row r="6498" hidden="1" x14ac:dyDescent="0.15"/>
    <row r="6499" hidden="1" x14ac:dyDescent="0.15"/>
    <row r="6500" hidden="1" x14ac:dyDescent="0.15"/>
    <row r="6501" hidden="1" x14ac:dyDescent="0.15"/>
    <row r="6502" hidden="1" x14ac:dyDescent="0.15"/>
    <row r="6503" hidden="1" x14ac:dyDescent="0.15"/>
    <row r="6504" hidden="1" x14ac:dyDescent="0.15"/>
    <row r="6505" hidden="1" x14ac:dyDescent="0.15"/>
    <row r="6506" hidden="1" x14ac:dyDescent="0.15"/>
    <row r="6507" hidden="1" x14ac:dyDescent="0.15"/>
    <row r="6508" hidden="1" x14ac:dyDescent="0.15"/>
    <row r="6509" hidden="1" x14ac:dyDescent="0.15"/>
    <row r="6510" hidden="1" x14ac:dyDescent="0.15"/>
    <row r="6511" hidden="1" x14ac:dyDescent="0.15"/>
    <row r="6512" hidden="1" x14ac:dyDescent="0.15"/>
    <row r="6513" hidden="1" x14ac:dyDescent="0.15"/>
    <row r="6514" hidden="1" x14ac:dyDescent="0.15"/>
    <row r="6515" hidden="1" x14ac:dyDescent="0.15"/>
    <row r="6516" hidden="1" x14ac:dyDescent="0.15"/>
    <row r="6517" hidden="1" x14ac:dyDescent="0.15"/>
    <row r="6518" hidden="1" x14ac:dyDescent="0.15"/>
    <row r="6519" hidden="1" x14ac:dyDescent="0.15"/>
    <row r="6520" hidden="1" x14ac:dyDescent="0.15"/>
    <row r="6521" hidden="1" x14ac:dyDescent="0.15"/>
    <row r="6522" hidden="1" x14ac:dyDescent="0.15"/>
    <row r="6523" hidden="1" x14ac:dyDescent="0.15"/>
    <row r="6524" hidden="1" x14ac:dyDescent="0.15"/>
    <row r="6525" hidden="1" x14ac:dyDescent="0.15"/>
    <row r="6526" hidden="1" x14ac:dyDescent="0.15"/>
    <row r="6527" hidden="1" x14ac:dyDescent="0.15"/>
    <row r="6528" hidden="1" x14ac:dyDescent="0.15"/>
    <row r="6529" hidden="1" x14ac:dyDescent="0.15"/>
    <row r="6530" hidden="1" x14ac:dyDescent="0.15"/>
    <row r="6531" hidden="1" x14ac:dyDescent="0.15"/>
    <row r="6532" hidden="1" x14ac:dyDescent="0.15"/>
    <row r="6533" hidden="1" x14ac:dyDescent="0.15"/>
    <row r="6534" hidden="1" x14ac:dyDescent="0.15"/>
    <row r="6535" hidden="1" x14ac:dyDescent="0.15"/>
    <row r="6536" hidden="1" x14ac:dyDescent="0.15"/>
    <row r="6537" hidden="1" x14ac:dyDescent="0.15"/>
    <row r="6538" hidden="1" x14ac:dyDescent="0.15"/>
    <row r="6539" hidden="1" x14ac:dyDescent="0.15"/>
    <row r="6540" hidden="1" x14ac:dyDescent="0.15"/>
    <row r="6541" hidden="1" x14ac:dyDescent="0.15"/>
    <row r="6542" hidden="1" x14ac:dyDescent="0.15"/>
    <row r="6543" hidden="1" x14ac:dyDescent="0.15"/>
    <row r="6544" hidden="1" x14ac:dyDescent="0.15"/>
    <row r="6545" hidden="1" x14ac:dyDescent="0.15"/>
    <row r="6546" hidden="1" x14ac:dyDescent="0.15"/>
    <row r="6547" hidden="1" x14ac:dyDescent="0.15"/>
    <row r="6548" hidden="1" x14ac:dyDescent="0.15"/>
    <row r="6549" hidden="1" x14ac:dyDescent="0.15"/>
    <row r="6550" hidden="1" x14ac:dyDescent="0.15"/>
    <row r="6551" hidden="1" x14ac:dyDescent="0.15"/>
    <row r="6552" hidden="1" x14ac:dyDescent="0.15"/>
    <row r="6553" hidden="1" x14ac:dyDescent="0.15"/>
    <row r="6554" hidden="1" x14ac:dyDescent="0.15"/>
    <row r="6555" hidden="1" x14ac:dyDescent="0.15"/>
    <row r="6556" hidden="1" x14ac:dyDescent="0.15"/>
    <row r="6557" hidden="1" x14ac:dyDescent="0.15"/>
    <row r="6558" hidden="1" x14ac:dyDescent="0.15"/>
    <row r="6559" hidden="1" x14ac:dyDescent="0.15"/>
    <row r="6560" hidden="1" x14ac:dyDescent="0.15"/>
    <row r="6561" hidden="1" x14ac:dyDescent="0.15"/>
    <row r="6562" hidden="1" x14ac:dyDescent="0.15"/>
    <row r="6563" hidden="1" x14ac:dyDescent="0.15"/>
    <row r="6564" hidden="1" x14ac:dyDescent="0.15"/>
    <row r="6565" hidden="1" x14ac:dyDescent="0.15"/>
    <row r="6566" hidden="1" x14ac:dyDescent="0.15"/>
    <row r="6567" hidden="1" x14ac:dyDescent="0.15"/>
    <row r="6568" hidden="1" x14ac:dyDescent="0.15"/>
    <row r="6569" hidden="1" x14ac:dyDescent="0.15"/>
    <row r="6570" hidden="1" x14ac:dyDescent="0.15"/>
    <row r="6571" hidden="1" x14ac:dyDescent="0.15"/>
    <row r="6572" hidden="1" x14ac:dyDescent="0.15"/>
    <row r="6573" hidden="1" x14ac:dyDescent="0.15"/>
    <row r="6574" hidden="1" x14ac:dyDescent="0.15"/>
    <row r="6575" hidden="1" x14ac:dyDescent="0.15"/>
    <row r="6576" hidden="1" x14ac:dyDescent="0.15"/>
    <row r="6577" hidden="1" x14ac:dyDescent="0.15"/>
    <row r="6578" hidden="1" x14ac:dyDescent="0.15"/>
    <row r="6579" hidden="1" x14ac:dyDescent="0.15"/>
    <row r="6580" hidden="1" x14ac:dyDescent="0.15"/>
    <row r="6581" hidden="1" x14ac:dyDescent="0.15"/>
    <row r="6582" hidden="1" x14ac:dyDescent="0.15"/>
    <row r="6583" hidden="1" x14ac:dyDescent="0.15"/>
    <row r="6584" hidden="1" x14ac:dyDescent="0.15"/>
    <row r="6585" hidden="1" x14ac:dyDescent="0.15"/>
    <row r="6586" hidden="1" x14ac:dyDescent="0.15"/>
    <row r="6587" hidden="1" x14ac:dyDescent="0.15"/>
    <row r="6588" hidden="1" x14ac:dyDescent="0.15"/>
    <row r="6589" hidden="1" x14ac:dyDescent="0.15"/>
    <row r="6590" hidden="1" x14ac:dyDescent="0.15"/>
    <row r="6591" hidden="1" x14ac:dyDescent="0.15"/>
    <row r="6592" hidden="1" x14ac:dyDescent="0.15"/>
    <row r="6593" hidden="1" x14ac:dyDescent="0.15"/>
    <row r="6594" hidden="1" x14ac:dyDescent="0.15"/>
    <row r="6595" hidden="1" x14ac:dyDescent="0.15"/>
    <row r="6596" hidden="1" x14ac:dyDescent="0.15"/>
    <row r="6597" hidden="1" x14ac:dyDescent="0.15"/>
    <row r="6598" hidden="1" x14ac:dyDescent="0.15"/>
    <row r="6599" hidden="1" x14ac:dyDescent="0.15"/>
    <row r="6600" hidden="1" x14ac:dyDescent="0.15"/>
    <row r="6601" hidden="1" x14ac:dyDescent="0.15"/>
    <row r="6602" hidden="1" x14ac:dyDescent="0.15"/>
    <row r="6603" hidden="1" x14ac:dyDescent="0.15"/>
    <row r="6604" hidden="1" x14ac:dyDescent="0.15"/>
    <row r="6605" hidden="1" x14ac:dyDescent="0.15"/>
    <row r="6606" hidden="1" x14ac:dyDescent="0.15"/>
    <row r="6607" hidden="1" x14ac:dyDescent="0.15"/>
    <row r="6608" hidden="1" x14ac:dyDescent="0.15"/>
    <row r="6609" hidden="1" x14ac:dyDescent="0.15"/>
    <row r="6610" hidden="1" x14ac:dyDescent="0.15"/>
    <row r="6611" hidden="1" x14ac:dyDescent="0.15"/>
    <row r="6612" hidden="1" x14ac:dyDescent="0.15"/>
    <row r="6613" hidden="1" x14ac:dyDescent="0.15"/>
    <row r="6614" hidden="1" x14ac:dyDescent="0.15"/>
    <row r="6615" hidden="1" x14ac:dyDescent="0.15"/>
    <row r="6616" hidden="1" x14ac:dyDescent="0.15"/>
    <row r="6617" hidden="1" x14ac:dyDescent="0.15"/>
    <row r="6618" hidden="1" x14ac:dyDescent="0.15"/>
    <row r="6619" hidden="1" x14ac:dyDescent="0.15"/>
    <row r="6620" hidden="1" x14ac:dyDescent="0.15"/>
    <row r="6621" hidden="1" x14ac:dyDescent="0.15"/>
    <row r="6622" hidden="1" x14ac:dyDescent="0.15"/>
    <row r="6623" hidden="1" x14ac:dyDescent="0.15"/>
    <row r="6624" hidden="1" x14ac:dyDescent="0.15"/>
    <row r="6625" hidden="1" x14ac:dyDescent="0.15"/>
    <row r="6626" hidden="1" x14ac:dyDescent="0.15"/>
    <row r="6627" hidden="1" x14ac:dyDescent="0.15"/>
    <row r="6628" hidden="1" x14ac:dyDescent="0.15"/>
    <row r="6629" hidden="1" x14ac:dyDescent="0.15"/>
    <row r="6630" hidden="1" x14ac:dyDescent="0.15"/>
    <row r="6631" hidden="1" x14ac:dyDescent="0.15"/>
    <row r="6632" hidden="1" x14ac:dyDescent="0.15"/>
    <row r="6633" hidden="1" x14ac:dyDescent="0.15"/>
    <row r="6634" hidden="1" x14ac:dyDescent="0.15"/>
    <row r="6635" hidden="1" x14ac:dyDescent="0.15"/>
    <row r="6636" hidden="1" x14ac:dyDescent="0.15"/>
    <row r="6637" hidden="1" x14ac:dyDescent="0.15"/>
    <row r="6638" hidden="1" x14ac:dyDescent="0.15"/>
    <row r="6639" hidden="1" x14ac:dyDescent="0.15"/>
    <row r="6640" hidden="1" x14ac:dyDescent="0.15"/>
    <row r="6641" hidden="1" x14ac:dyDescent="0.15"/>
    <row r="6642" hidden="1" x14ac:dyDescent="0.15"/>
    <row r="6643" hidden="1" x14ac:dyDescent="0.15"/>
    <row r="6644" hidden="1" x14ac:dyDescent="0.15"/>
    <row r="6645" hidden="1" x14ac:dyDescent="0.15"/>
    <row r="6646" hidden="1" x14ac:dyDescent="0.15"/>
    <row r="6647" hidden="1" x14ac:dyDescent="0.15"/>
    <row r="6648" hidden="1" x14ac:dyDescent="0.15"/>
    <row r="6649" hidden="1" x14ac:dyDescent="0.15"/>
    <row r="6650" hidden="1" x14ac:dyDescent="0.15"/>
    <row r="6651" hidden="1" x14ac:dyDescent="0.15"/>
    <row r="6652" hidden="1" x14ac:dyDescent="0.15"/>
    <row r="6653" hidden="1" x14ac:dyDescent="0.15"/>
    <row r="6654" hidden="1" x14ac:dyDescent="0.15"/>
    <row r="6655" hidden="1" x14ac:dyDescent="0.15"/>
    <row r="6656" hidden="1" x14ac:dyDescent="0.15"/>
    <row r="6657" hidden="1" x14ac:dyDescent="0.15"/>
    <row r="6658" hidden="1" x14ac:dyDescent="0.15"/>
    <row r="6659" hidden="1" x14ac:dyDescent="0.15"/>
    <row r="6660" hidden="1" x14ac:dyDescent="0.15"/>
    <row r="6661" hidden="1" x14ac:dyDescent="0.15"/>
    <row r="6662" hidden="1" x14ac:dyDescent="0.15"/>
    <row r="6663" hidden="1" x14ac:dyDescent="0.15"/>
    <row r="6664" hidden="1" x14ac:dyDescent="0.15"/>
    <row r="6665" hidden="1" x14ac:dyDescent="0.15"/>
    <row r="6666" hidden="1" x14ac:dyDescent="0.15"/>
    <row r="6667" hidden="1" x14ac:dyDescent="0.15"/>
    <row r="6668" hidden="1" x14ac:dyDescent="0.15"/>
    <row r="6669" hidden="1" x14ac:dyDescent="0.15"/>
    <row r="6670" hidden="1" x14ac:dyDescent="0.15"/>
    <row r="6671" hidden="1" x14ac:dyDescent="0.15"/>
    <row r="6672" hidden="1" x14ac:dyDescent="0.15"/>
    <row r="6673" hidden="1" x14ac:dyDescent="0.15"/>
    <row r="6674" hidden="1" x14ac:dyDescent="0.15"/>
    <row r="6675" hidden="1" x14ac:dyDescent="0.15"/>
    <row r="6676" hidden="1" x14ac:dyDescent="0.15"/>
    <row r="6677" hidden="1" x14ac:dyDescent="0.15"/>
    <row r="6678" hidden="1" x14ac:dyDescent="0.15"/>
    <row r="6679" hidden="1" x14ac:dyDescent="0.15"/>
    <row r="6680" hidden="1" x14ac:dyDescent="0.15"/>
    <row r="6681" hidden="1" x14ac:dyDescent="0.15"/>
    <row r="6682" hidden="1" x14ac:dyDescent="0.15"/>
    <row r="6683" hidden="1" x14ac:dyDescent="0.15"/>
    <row r="6684" hidden="1" x14ac:dyDescent="0.15"/>
    <row r="6685" hidden="1" x14ac:dyDescent="0.15"/>
    <row r="6686" hidden="1" x14ac:dyDescent="0.15"/>
    <row r="6687" hidden="1" x14ac:dyDescent="0.15"/>
    <row r="6688" hidden="1" x14ac:dyDescent="0.15"/>
    <row r="6689" hidden="1" x14ac:dyDescent="0.15"/>
    <row r="6690" hidden="1" x14ac:dyDescent="0.15"/>
    <row r="6691" hidden="1" x14ac:dyDescent="0.15"/>
    <row r="6692" hidden="1" x14ac:dyDescent="0.15"/>
    <row r="6693" hidden="1" x14ac:dyDescent="0.15"/>
    <row r="6694" hidden="1" x14ac:dyDescent="0.15"/>
    <row r="6695" hidden="1" x14ac:dyDescent="0.15"/>
    <row r="6696" hidden="1" x14ac:dyDescent="0.15"/>
    <row r="6697" hidden="1" x14ac:dyDescent="0.15"/>
    <row r="6698" hidden="1" x14ac:dyDescent="0.15"/>
    <row r="6699" hidden="1" x14ac:dyDescent="0.15"/>
    <row r="6700" hidden="1" x14ac:dyDescent="0.15"/>
    <row r="6701" hidden="1" x14ac:dyDescent="0.15"/>
    <row r="6702" hidden="1" x14ac:dyDescent="0.15"/>
    <row r="6703" hidden="1" x14ac:dyDescent="0.15"/>
    <row r="6704" hidden="1" x14ac:dyDescent="0.15"/>
    <row r="6705" hidden="1" x14ac:dyDescent="0.15"/>
    <row r="6706" hidden="1" x14ac:dyDescent="0.15"/>
    <row r="6707" hidden="1" x14ac:dyDescent="0.15"/>
    <row r="6708" hidden="1" x14ac:dyDescent="0.15"/>
    <row r="6709" hidden="1" x14ac:dyDescent="0.15"/>
    <row r="6710" hidden="1" x14ac:dyDescent="0.15"/>
    <row r="6711" hidden="1" x14ac:dyDescent="0.15"/>
    <row r="6712" hidden="1" x14ac:dyDescent="0.15"/>
    <row r="6713" hidden="1" x14ac:dyDescent="0.15"/>
    <row r="6714" hidden="1" x14ac:dyDescent="0.15"/>
    <row r="6715" hidden="1" x14ac:dyDescent="0.15"/>
    <row r="6716" hidden="1" x14ac:dyDescent="0.15"/>
    <row r="6717" hidden="1" x14ac:dyDescent="0.15"/>
    <row r="6718" hidden="1" x14ac:dyDescent="0.15"/>
    <row r="6719" hidden="1" x14ac:dyDescent="0.15"/>
    <row r="6720" hidden="1" x14ac:dyDescent="0.15"/>
    <row r="6721" hidden="1" x14ac:dyDescent="0.15"/>
    <row r="6722" hidden="1" x14ac:dyDescent="0.15"/>
    <row r="6723" hidden="1" x14ac:dyDescent="0.15"/>
    <row r="6724" hidden="1" x14ac:dyDescent="0.15"/>
    <row r="6725" hidden="1" x14ac:dyDescent="0.15"/>
    <row r="6726" hidden="1" x14ac:dyDescent="0.15"/>
    <row r="6727" hidden="1" x14ac:dyDescent="0.15"/>
    <row r="6728" hidden="1" x14ac:dyDescent="0.15"/>
    <row r="6729" hidden="1" x14ac:dyDescent="0.15"/>
    <row r="6730" hidden="1" x14ac:dyDescent="0.15"/>
    <row r="6731" hidden="1" x14ac:dyDescent="0.15"/>
    <row r="6732" hidden="1" x14ac:dyDescent="0.15"/>
    <row r="6733" hidden="1" x14ac:dyDescent="0.15"/>
    <row r="6734" hidden="1" x14ac:dyDescent="0.15"/>
    <row r="6735" hidden="1" x14ac:dyDescent="0.15"/>
    <row r="6736" hidden="1" x14ac:dyDescent="0.15"/>
    <row r="6737" hidden="1" x14ac:dyDescent="0.15"/>
    <row r="6738" hidden="1" x14ac:dyDescent="0.15"/>
    <row r="6739" hidden="1" x14ac:dyDescent="0.15"/>
    <row r="6740" hidden="1" x14ac:dyDescent="0.15"/>
    <row r="6741" hidden="1" x14ac:dyDescent="0.15"/>
    <row r="6742" hidden="1" x14ac:dyDescent="0.15"/>
    <row r="6743" hidden="1" x14ac:dyDescent="0.15"/>
    <row r="6744" hidden="1" x14ac:dyDescent="0.15"/>
    <row r="6745" hidden="1" x14ac:dyDescent="0.15"/>
    <row r="6746" hidden="1" x14ac:dyDescent="0.15"/>
    <row r="6747" hidden="1" x14ac:dyDescent="0.15"/>
    <row r="6748" hidden="1" x14ac:dyDescent="0.15"/>
    <row r="6749" hidden="1" x14ac:dyDescent="0.15"/>
    <row r="6750" hidden="1" x14ac:dyDescent="0.15"/>
    <row r="6751" hidden="1" x14ac:dyDescent="0.15"/>
    <row r="6752" hidden="1" x14ac:dyDescent="0.15"/>
    <row r="6753" hidden="1" x14ac:dyDescent="0.15"/>
    <row r="6754" hidden="1" x14ac:dyDescent="0.15"/>
    <row r="6755" hidden="1" x14ac:dyDescent="0.15"/>
    <row r="6756" hidden="1" x14ac:dyDescent="0.15"/>
    <row r="6757" hidden="1" x14ac:dyDescent="0.15"/>
    <row r="6758" hidden="1" x14ac:dyDescent="0.15"/>
    <row r="6759" hidden="1" x14ac:dyDescent="0.15"/>
    <row r="6760" hidden="1" x14ac:dyDescent="0.15"/>
    <row r="6761" hidden="1" x14ac:dyDescent="0.15"/>
    <row r="6762" hidden="1" x14ac:dyDescent="0.15"/>
    <row r="6763" hidden="1" x14ac:dyDescent="0.15"/>
    <row r="6764" hidden="1" x14ac:dyDescent="0.15"/>
    <row r="6765" hidden="1" x14ac:dyDescent="0.15"/>
    <row r="6766" hidden="1" x14ac:dyDescent="0.15"/>
    <row r="6767" hidden="1" x14ac:dyDescent="0.15"/>
    <row r="6768" hidden="1" x14ac:dyDescent="0.15"/>
    <row r="6769" hidden="1" x14ac:dyDescent="0.15"/>
    <row r="6770" hidden="1" x14ac:dyDescent="0.15"/>
    <row r="6771" hidden="1" x14ac:dyDescent="0.15"/>
    <row r="6772" hidden="1" x14ac:dyDescent="0.15"/>
    <row r="6773" hidden="1" x14ac:dyDescent="0.15"/>
    <row r="6774" hidden="1" x14ac:dyDescent="0.15"/>
    <row r="6775" hidden="1" x14ac:dyDescent="0.15"/>
    <row r="6776" hidden="1" x14ac:dyDescent="0.15"/>
    <row r="6777" hidden="1" x14ac:dyDescent="0.15"/>
    <row r="6778" hidden="1" x14ac:dyDescent="0.15"/>
    <row r="6779" hidden="1" x14ac:dyDescent="0.15"/>
    <row r="6780" hidden="1" x14ac:dyDescent="0.15"/>
    <row r="6781" hidden="1" x14ac:dyDescent="0.15"/>
    <row r="6782" hidden="1" x14ac:dyDescent="0.15"/>
    <row r="6783" hidden="1" x14ac:dyDescent="0.15"/>
    <row r="6784" hidden="1" x14ac:dyDescent="0.15"/>
    <row r="6785" hidden="1" x14ac:dyDescent="0.15"/>
    <row r="6786" hidden="1" x14ac:dyDescent="0.15"/>
    <row r="6787" hidden="1" x14ac:dyDescent="0.15"/>
    <row r="6788" hidden="1" x14ac:dyDescent="0.15"/>
    <row r="6789" hidden="1" x14ac:dyDescent="0.15"/>
    <row r="6790" hidden="1" x14ac:dyDescent="0.15"/>
    <row r="6791" hidden="1" x14ac:dyDescent="0.15"/>
    <row r="6792" hidden="1" x14ac:dyDescent="0.15"/>
    <row r="6793" hidden="1" x14ac:dyDescent="0.15"/>
    <row r="6794" hidden="1" x14ac:dyDescent="0.15"/>
    <row r="6795" hidden="1" x14ac:dyDescent="0.15"/>
    <row r="6796" hidden="1" x14ac:dyDescent="0.15"/>
    <row r="6797" hidden="1" x14ac:dyDescent="0.15"/>
    <row r="6798" hidden="1" x14ac:dyDescent="0.15"/>
    <row r="6799" hidden="1" x14ac:dyDescent="0.15"/>
    <row r="6800" hidden="1" x14ac:dyDescent="0.15"/>
    <row r="6801" hidden="1" x14ac:dyDescent="0.15"/>
    <row r="6802" hidden="1" x14ac:dyDescent="0.15"/>
    <row r="6803" hidden="1" x14ac:dyDescent="0.15"/>
    <row r="6804" hidden="1" x14ac:dyDescent="0.15"/>
    <row r="6805" hidden="1" x14ac:dyDescent="0.15"/>
    <row r="6806" hidden="1" x14ac:dyDescent="0.15"/>
    <row r="6807" hidden="1" x14ac:dyDescent="0.15"/>
    <row r="6808" hidden="1" x14ac:dyDescent="0.15"/>
    <row r="6809" hidden="1" x14ac:dyDescent="0.15"/>
    <row r="6810" hidden="1" x14ac:dyDescent="0.15"/>
    <row r="6811" hidden="1" x14ac:dyDescent="0.15"/>
    <row r="6812" hidden="1" x14ac:dyDescent="0.15"/>
    <row r="6813" hidden="1" x14ac:dyDescent="0.15"/>
    <row r="6814" hidden="1" x14ac:dyDescent="0.15"/>
    <row r="6815" hidden="1" x14ac:dyDescent="0.15"/>
    <row r="6816" hidden="1" x14ac:dyDescent="0.15"/>
    <row r="6817" hidden="1" x14ac:dyDescent="0.15"/>
    <row r="6818" hidden="1" x14ac:dyDescent="0.15"/>
    <row r="6819" hidden="1" x14ac:dyDescent="0.15"/>
    <row r="6820" hidden="1" x14ac:dyDescent="0.15"/>
    <row r="6821" hidden="1" x14ac:dyDescent="0.15"/>
    <row r="6822" hidden="1" x14ac:dyDescent="0.15"/>
    <row r="6823" hidden="1" x14ac:dyDescent="0.15"/>
    <row r="6824" hidden="1" x14ac:dyDescent="0.15"/>
    <row r="6825" hidden="1" x14ac:dyDescent="0.15"/>
    <row r="6826" hidden="1" x14ac:dyDescent="0.15"/>
    <row r="6827" hidden="1" x14ac:dyDescent="0.15"/>
    <row r="6828" hidden="1" x14ac:dyDescent="0.15"/>
    <row r="6829" hidden="1" x14ac:dyDescent="0.15"/>
    <row r="6830" hidden="1" x14ac:dyDescent="0.15"/>
    <row r="6831" hidden="1" x14ac:dyDescent="0.15"/>
    <row r="6832" hidden="1" x14ac:dyDescent="0.15"/>
    <row r="6833" hidden="1" x14ac:dyDescent="0.15"/>
    <row r="6834" hidden="1" x14ac:dyDescent="0.15"/>
    <row r="6835" hidden="1" x14ac:dyDescent="0.15"/>
    <row r="6836" hidden="1" x14ac:dyDescent="0.15"/>
    <row r="6837" hidden="1" x14ac:dyDescent="0.15"/>
    <row r="6838" hidden="1" x14ac:dyDescent="0.15"/>
    <row r="6839" hidden="1" x14ac:dyDescent="0.15"/>
    <row r="6840" hidden="1" x14ac:dyDescent="0.15"/>
    <row r="6841" hidden="1" x14ac:dyDescent="0.15"/>
    <row r="6842" hidden="1" x14ac:dyDescent="0.15"/>
    <row r="6843" hidden="1" x14ac:dyDescent="0.15"/>
    <row r="6844" hidden="1" x14ac:dyDescent="0.15"/>
    <row r="6845" hidden="1" x14ac:dyDescent="0.15"/>
    <row r="6846" hidden="1" x14ac:dyDescent="0.15"/>
    <row r="6847" hidden="1" x14ac:dyDescent="0.15"/>
    <row r="6848" hidden="1" x14ac:dyDescent="0.15"/>
    <row r="6849" hidden="1" x14ac:dyDescent="0.15"/>
    <row r="6850" hidden="1" x14ac:dyDescent="0.15"/>
    <row r="6851" hidden="1" x14ac:dyDescent="0.15"/>
    <row r="6852" hidden="1" x14ac:dyDescent="0.15"/>
    <row r="6853" hidden="1" x14ac:dyDescent="0.15"/>
    <row r="6854" hidden="1" x14ac:dyDescent="0.15"/>
    <row r="6855" hidden="1" x14ac:dyDescent="0.15"/>
    <row r="6856" hidden="1" x14ac:dyDescent="0.15"/>
    <row r="6857" hidden="1" x14ac:dyDescent="0.15"/>
    <row r="6858" hidden="1" x14ac:dyDescent="0.15"/>
    <row r="6859" hidden="1" x14ac:dyDescent="0.15"/>
    <row r="6860" hidden="1" x14ac:dyDescent="0.15"/>
    <row r="6861" hidden="1" x14ac:dyDescent="0.15"/>
    <row r="6862" hidden="1" x14ac:dyDescent="0.15"/>
    <row r="6863" hidden="1" x14ac:dyDescent="0.15"/>
    <row r="6864" hidden="1" x14ac:dyDescent="0.15"/>
    <row r="6865" hidden="1" x14ac:dyDescent="0.15"/>
    <row r="6866" hidden="1" x14ac:dyDescent="0.15"/>
    <row r="6867" hidden="1" x14ac:dyDescent="0.15"/>
    <row r="6868" hidden="1" x14ac:dyDescent="0.15"/>
    <row r="6869" hidden="1" x14ac:dyDescent="0.15"/>
    <row r="6870" hidden="1" x14ac:dyDescent="0.15"/>
    <row r="6871" hidden="1" x14ac:dyDescent="0.15"/>
    <row r="6872" hidden="1" x14ac:dyDescent="0.15"/>
    <row r="6873" hidden="1" x14ac:dyDescent="0.15"/>
    <row r="6874" hidden="1" x14ac:dyDescent="0.15"/>
    <row r="6875" hidden="1" x14ac:dyDescent="0.15"/>
    <row r="6876" hidden="1" x14ac:dyDescent="0.15"/>
    <row r="6877" hidden="1" x14ac:dyDescent="0.15"/>
    <row r="6878" hidden="1" x14ac:dyDescent="0.15"/>
    <row r="6879" hidden="1" x14ac:dyDescent="0.15"/>
    <row r="6880" hidden="1" x14ac:dyDescent="0.15"/>
    <row r="6881" hidden="1" x14ac:dyDescent="0.15"/>
    <row r="6882" hidden="1" x14ac:dyDescent="0.15"/>
    <row r="6883" hidden="1" x14ac:dyDescent="0.15"/>
    <row r="6884" hidden="1" x14ac:dyDescent="0.15"/>
    <row r="6885" hidden="1" x14ac:dyDescent="0.15"/>
    <row r="6886" hidden="1" x14ac:dyDescent="0.15"/>
    <row r="6887" hidden="1" x14ac:dyDescent="0.15"/>
    <row r="6888" hidden="1" x14ac:dyDescent="0.15"/>
    <row r="6889" hidden="1" x14ac:dyDescent="0.15"/>
    <row r="6890" hidden="1" x14ac:dyDescent="0.15"/>
    <row r="6891" hidden="1" x14ac:dyDescent="0.15"/>
    <row r="6892" hidden="1" x14ac:dyDescent="0.15"/>
    <row r="6893" hidden="1" x14ac:dyDescent="0.15"/>
    <row r="6894" hidden="1" x14ac:dyDescent="0.15"/>
    <row r="6895" hidden="1" x14ac:dyDescent="0.15"/>
    <row r="6896" hidden="1" x14ac:dyDescent="0.15"/>
    <row r="6897" hidden="1" x14ac:dyDescent="0.15"/>
    <row r="6898" hidden="1" x14ac:dyDescent="0.15"/>
    <row r="6899" hidden="1" x14ac:dyDescent="0.15"/>
    <row r="6900" hidden="1" x14ac:dyDescent="0.15"/>
    <row r="6901" hidden="1" x14ac:dyDescent="0.15"/>
    <row r="6902" hidden="1" x14ac:dyDescent="0.15"/>
    <row r="6903" hidden="1" x14ac:dyDescent="0.15"/>
    <row r="6904" hidden="1" x14ac:dyDescent="0.15"/>
    <row r="6905" hidden="1" x14ac:dyDescent="0.15"/>
    <row r="6906" hidden="1" x14ac:dyDescent="0.15"/>
    <row r="6907" hidden="1" x14ac:dyDescent="0.15"/>
    <row r="6908" hidden="1" x14ac:dyDescent="0.15"/>
    <row r="6909" hidden="1" x14ac:dyDescent="0.15"/>
    <row r="6910" hidden="1" x14ac:dyDescent="0.15"/>
    <row r="6911" hidden="1" x14ac:dyDescent="0.15"/>
    <row r="6912" hidden="1" x14ac:dyDescent="0.15"/>
    <row r="6913" hidden="1" x14ac:dyDescent="0.15"/>
    <row r="6914" hidden="1" x14ac:dyDescent="0.15"/>
    <row r="6915" hidden="1" x14ac:dyDescent="0.15"/>
    <row r="6916" hidden="1" x14ac:dyDescent="0.15"/>
    <row r="6917" hidden="1" x14ac:dyDescent="0.15"/>
    <row r="6918" hidden="1" x14ac:dyDescent="0.15"/>
    <row r="6919" hidden="1" x14ac:dyDescent="0.15"/>
    <row r="6920" hidden="1" x14ac:dyDescent="0.15"/>
    <row r="6921" hidden="1" x14ac:dyDescent="0.15"/>
    <row r="6922" hidden="1" x14ac:dyDescent="0.15"/>
    <row r="6923" hidden="1" x14ac:dyDescent="0.15"/>
    <row r="6924" hidden="1" x14ac:dyDescent="0.15"/>
    <row r="6925" hidden="1" x14ac:dyDescent="0.15"/>
    <row r="6926" hidden="1" x14ac:dyDescent="0.15"/>
    <row r="6927" hidden="1" x14ac:dyDescent="0.15"/>
    <row r="6928" hidden="1" x14ac:dyDescent="0.15"/>
    <row r="6929" hidden="1" x14ac:dyDescent="0.15"/>
    <row r="6930" hidden="1" x14ac:dyDescent="0.15"/>
    <row r="6931" hidden="1" x14ac:dyDescent="0.15"/>
    <row r="6932" hidden="1" x14ac:dyDescent="0.15"/>
    <row r="6933" hidden="1" x14ac:dyDescent="0.15"/>
    <row r="6934" hidden="1" x14ac:dyDescent="0.15"/>
    <row r="6935" hidden="1" x14ac:dyDescent="0.15"/>
    <row r="6936" hidden="1" x14ac:dyDescent="0.15"/>
    <row r="6937" hidden="1" x14ac:dyDescent="0.15"/>
    <row r="6938" hidden="1" x14ac:dyDescent="0.15"/>
    <row r="6939" hidden="1" x14ac:dyDescent="0.15"/>
    <row r="6940" hidden="1" x14ac:dyDescent="0.15"/>
    <row r="6941" hidden="1" x14ac:dyDescent="0.15"/>
    <row r="6942" hidden="1" x14ac:dyDescent="0.15"/>
    <row r="6943" hidden="1" x14ac:dyDescent="0.15"/>
    <row r="6944" hidden="1" x14ac:dyDescent="0.15"/>
    <row r="6945" hidden="1" x14ac:dyDescent="0.15"/>
    <row r="6946" hidden="1" x14ac:dyDescent="0.15"/>
    <row r="6947" hidden="1" x14ac:dyDescent="0.15"/>
    <row r="6948" hidden="1" x14ac:dyDescent="0.15"/>
    <row r="6949" hidden="1" x14ac:dyDescent="0.15"/>
    <row r="6950" hidden="1" x14ac:dyDescent="0.15"/>
    <row r="6951" hidden="1" x14ac:dyDescent="0.15"/>
    <row r="6952" hidden="1" x14ac:dyDescent="0.15"/>
    <row r="6953" hidden="1" x14ac:dyDescent="0.15"/>
    <row r="6954" hidden="1" x14ac:dyDescent="0.15"/>
    <row r="6955" hidden="1" x14ac:dyDescent="0.15"/>
    <row r="6956" hidden="1" x14ac:dyDescent="0.15"/>
    <row r="6957" hidden="1" x14ac:dyDescent="0.15"/>
    <row r="6958" hidden="1" x14ac:dyDescent="0.15"/>
    <row r="6959" hidden="1" x14ac:dyDescent="0.15"/>
    <row r="6960" hidden="1" x14ac:dyDescent="0.15"/>
    <row r="6961" hidden="1" x14ac:dyDescent="0.15"/>
    <row r="6962" hidden="1" x14ac:dyDescent="0.15"/>
    <row r="6963" hidden="1" x14ac:dyDescent="0.15"/>
    <row r="6964" hidden="1" x14ac:dyDescent="0.15"/>
    <row r="6965" hidden="1" x14ac:dyDescent="0.15"/>
    <row r="6966" hidden="1" x14ac:dyDescent="0.15"/>
    <row r="6967" hidden="1" x14ac:dyDescent="0.15"/>
    <row r="6968" hidden="1" x14ac:dyDescent="0.15"/>
    <row r="6969" hidden="1" x14ac:dyDescent="0.15"/>
    <row r="6970" hidden="1" x14ac:dyDescent="0.15"/>
    <row r="6971" hidden="1" x14ac:dyDescent="0.15"/>
    <row r="6972" hidden="1" x14ac:dyDescent="0.15"/>
    <row r="6973" hidden="1" x14ac:dyDescent="0.15"/>
    <row r="6974" hidden="1" x14ac:dyDescent="0.15"/>
    <row r="6975" hidden="1" x14ac:dyDescent="0.15"/>
    <row r="6976" hidden="1" x14ac:dyDescent="0.15"/>
    <row r="6977" hidden="1" x14ac:dyDescent="0.15"/>
    <row r="6978" hidden="1" x14ac:dyDescent="0.15"/>
    <row r="6979" hidden="1" x14ac:dyDescent="0.15"/>
    <row r="6980" hidden="1" x14ac:dyDescent="0.15"/>
    <row r="6981" hidden="1" x14ac:dyDescent="0.15"/>
    <row r="6982" hidden="1" x14ac:dyDescent="0.15"/>
    <row r="6983" hidden="1" x14ac:dyDescent="0.15"/>
    <row r="6984" hidden="1" x14ac:dyDescent="0.15"/>
    <row r="6985" hidden="1" x14ac:dyDescent="0.15"/>
    <row r="6986" hidden="1" x14ac:dyDescent="0.15"/>
    <row r="6987" hidden="1" x14ac:dyDescent="0.15"/>
    <row r="6988" hidden="1" x14ac:dyDescent="0.15"/>
    <row r="6989" hidden="1" x14ac:dyDescent="0.15"/>
    <row r="6990" hidden="1" x14ac:dyDescent="0.15"/>
    <row r="6991" hidden="1" x14ac:dyDescent="0.15"/>
    <row r="6992" hidden="1" x14ac:dyDescent="0.15"/>
    <row r="6993" hidden="1" x14ac:dyDescent="0.15"/>
    <row r="6994" hidden="1" x14ac:dyDescent="0.15"/>
    <row r="6995" hidden="1" x14ac:dyDescent="0.15"/>
    <row r="6996" hidden="1" x14ac:dyDescent="0.15"/>
    <row r="6997" hidden="1" x14ac:dyDescent="0.15"/>
    <row r="6998" hidden="1" x14ac:dyDescent="0.15"/>
    <row r="6999" hidden="1" x14ac:dyDescent="0.15"/>
    <row r="7000" hidden="1" x14ac:dyDescent="0.15"/>
    <row r="7001" hidden="1" x14ac:dyDescent="0.15"/>
    <row r="7002" hidden="1" x14ac:dyDescent="0.15"/>
    <row r="7003" hidden="1" x14ac:dyDescent="0.15"/>
    <row r="7004" hidden="1" x14ac:dyDescent="0.15"/>
    <row r="7005" hidden="1" x14ac:dyDescent="0.15"/>
    <row r="7006" hidden="1" x14ac:dyDescent="0.15"/>
    <row r="7007" hidden="1" x14ac:dyDescent="0.15"/>
    <row r="7008" hidden="1" x14ac:dyDescent="0.15"/>
    <row r="7009" hidden="1" x14ac:dyDescent="0.15"/>
    <row r="7010" hidden="1" x14ac:dyDescent="0.15"/>
    <row r="7011" hidden="1" x14ac:dyDescent="0.15"/>
    <row r="7012" hidden="1" x14ac:dyDescent="0.15"/>
    <row r="7013" hidden="1" x14ac:dyDescent="0.15"/>
    <row r="7014" hidden="1" x14ac:dyDescent="0.15"/>
    <row r="7015" hidden="1" x14ac:dyDescent="0.15"/>
    <row r="7016" hidden="1" x14ac:dyDescent="0.15"/>
    <row r="7017" hidden="1" x14ac:dyDescent="0.15"/>
    <row r="7018" hidden="1" x14ac:dyDescent="0.15"/>
    <row r="7019" hidden="1" x14ac:dyDescent="0.15"/>
    <row r="7020" hidden="1" x14ac:dyDescent="0.15"/>
    <row r="7021" hidden="1" x14ac:dyDescent="0.15"/>
    <row r="7022" hidden="1" x14ac:dyDescent="0.15"/>
    <row r="7023" hidden="1" x14ac:dyDescent="0.15"/>
    <row r="7024" hidden="1" x14ac:dyDescent="0.15"/>
    <row r="7025" hidden="1" x14ac:dyDescent="0.15"/>
    <row r="7026" hidden="1" x14ac:dyDescent="0.15"/>
    <row r="7027" hidden="1" x14ac:dyDescent="0.15"/>
    <row r="7028" hidden="1" x14ac:dyDescent="0.15"/>
    <row r="7029" hidden="1" x14ac:dyDescent="0.15"/>
    <row r="7030" hidden="1" x14ac:dyDescent="0.15"/>
    <row r="7031" hidden="1" x14ac:dyDescent="0.15"/>
    <row r="7032" hidden="1" x14ac:dyDescent="0.15"/>
    <row r="7033" hidden="1" x14ac:dyDescent="0.15"/>
    <row r="7034" hidden="1" x14ac:dyDescent="0.15"/>
    <row r="7035" hidden="1" x14ac:dyDescent="0.15"/>
    <row r="7036" hidden="1" x14ac:dyDescent="0.15"/>
    <row r="7037" hidden="1" x14ac:dyDescent="0.15"/>
    <row r="7038" hidden="1" x14ac:dyDescent="0.15"/>
    <row r="7039" hidden="1" x14ac:dyDescent="0.15"/>
    <row r="7040" hidden="1" x14ac:dyDescent="0.15"/>
    <row r="7041" hidden="1" x14ac:dyDescent="0.15"/>
    <row r="7042" hidden="1" x14ac:dyDescent="0.15"/>
    <row r="7043" hidden="1" x14ac:dyDescent="0.15"/>
    <row r="7044" hidden="1" x14ac:dyDescent="0.15"/>
    <row r="7045" hidden="1" x14ac:dyDescent="0.15"/>
    <row r="7046" hidden="1" x14ac:dyDescent="0.15"/>
    <row r="7047" hidden="1" x14ac:dyDescent="0.15"/>
    <row r="7048" hidden="1" x14ac:dyDescent="0.15"/>
    <row r="7049" hidden="1" x14ac:dyDescent="0.15"/>
    <row r="7050" hidden="1" x14ac:dyDescent="0.15"/>
    <row r="7051" hidden="1" x14ac:dyDescent="0.15"/>
    <row r="7052" hidden="1" x14ac:dyDescent="0.15"/>
    <row r="7053" hidden="1" x14ac:dyDescent="0.15"/>
    <row r="7054" hidden="1" x14ac:dyDescent="0.15"/>
    <row r="7055" hidden="1" x14ac:dyDescent="0.15"/>
    <row r="7056" hidden="1" x14ac:dyDescent="0.15"/>
    <row r="7057" hidden="1" x14ac:dyDescent="0.15"/>
    <row r="7058" hidden="1" x14ac:dyDescent="0.15"/>
    <row r="7059" hidden="1" x14ac:dyDescent="0.15"/>
    <row r="7060" hidden="1" x14ac:dyDescent="0.15"/>
    <row r="7061" hidden="1" x14ac:dyDescent="0.15"/>
    <row r="7062" hidden="1" x14ac:dyDescent="0.15"/>
    <row r="7063" hidden="1" x14ac:dyDescent="0.15"/>
    <row r="7064" hidden="1" x14ac:dyDescent="0.15"/>
    <row r="7065" hidden="1" x14ac:dyDescent="0.15"/>
    <row r="7066" hidden="1" x14ac:dyDescent="0.15"/>
    <row r="7067" hidden="1" x14ac:dyDescent="0.15"/>
    <row r="7068" hidden="1" x14ac:dyDescent="0.15"/>
    <row r="7069" hidden="1" x14ac:dyDescent="0.15"/>
    <row r="7070" hidden="1" x14ac:dyDescent="0.15"/>
    <row r="7071" hidden="1" x14ac:dyDescent="0.15"/>
    <row r="7072" hidden="1" x14ac:dyDescent="0.15"/>
    <row r="7073" hidden="1" x14ac:dyDescent="0.15"/>
    <row r="7074" hidden="1" x14ac:dyDescent="0.15"/>
    <row r="7075" hidden="1" x14ac:dyDescent="0.15"/>
    <row r="7076" hidden="1" x14ac:dyDescent="0.15"/>
    <row r="7077" hidden="1" x14ac:dyDescent="0.15"/>
    <row r="7078" hidden="1" x14ac:dyDescent="0.15"/>
    <row r="7079" hidden="1" x14ac:dyDescent="0.15"/>
    <row r="7080" hidden="1" x14ac:dyDescent="0.15"/>
    <row r="7081" hidden="1" x14ac:dyDescent="0.15"/>
    <row r="7082" hidden="1" x14ac:dyDescent="0.15"/>
    <row r="7083" hidden="1" x14ac:dyDescent="0.15"/>
    <row r="7084" hidden="1" x14ac:dyDescent="0.15"/>
    <row r="7085" hidden="1" x14ac:dyDescent="0.15"/>
    <row r="7086" hidden="1" x14ac:dyDescent="0.15"/>
    <row r="7087" hidden="1" x14ac:dyDescent="0.15"/>
    <row r="7088" hidden="1" x14ac:dyDescent="0.15"/>
    <row r="7089" hidden="1" x14ac:dyDescent="0.15"/>
    <row r="7090" hidden="1" x14ac:dyDescent="0.15"/>
    <row r="7091" hidden="1" x14ac:dyDescent="0.15"/>
    <row r="7092" hidden="1" x14ac:dyDescent="0.15"/>
    <row r="7093" hidden="1" x14ac:dyDescent="0.15"/>
    <row r="7094" hidden="1" x14ac:dyDescent="0.15"/>
    <row r="7095" hidden="1" x14ac:dyDescent="0.15"/>
    <row r="7096" hidden="1" x14ac:dyDescent="0.15"/>
    <row r="7097" hidden="1" x14ac:dyDescent="0.15"/>
    <row r="7098" hidden="1" x14ac:dyDescent="0.15"/>
    <row r="7099" hidden="1" x14ac:dyDescent="0.15"/>
    <row r="7100" hidden="1" x14ac:dyDescent="0.15"/>
    <row r="7101" hidden="1" x14ac:dyDescent="0.15"/>
    <row r="7102" hidden="1" x14ac:dyDescent="0.15"/>
    <row r="7103" hidden="1" x14ac:dyDescent="0.15"/>
    <row r="7104" hidden="1" x14ac:dyDescent="0.15"/>
    <row r="7105" hidden="1" x14ac:dyDescent="0.15"/>
    <row r="7106" hidden="1" x14ac:dyDescent="0.15"/>
    <row r="7107" hidden="1" x14ac:dyDescent="0.15"/>
    <row r="7108" hidden="1" x14ac:dyDescent="0.15"/>
    <row r="7109" hidden="1" x14ac:dyDescent="0.15"/>
    <row r="7110" hidden="1" x14ac:dyDescent="0.15"/>
    <row r="7111" hidden="1" x14ac:dyDescent="0.15"/>
    <row r="7112" hidden="1" x14ac:dyDescent="0.15"/>
    <row r="7113" hidden="1" x14ac:dyDescent="0.15"/>
    <row r="7114" hidden="1" x14ac:dyDescent="0.15"/>
    <row r="7115" hidden="1" x14ac:dyDescent="0.15"/>
    <row r="7116" hidden="1" x14ac:dyDescent="0.15"/>
    <row r="7117" hidden="1" x14ac:dyDescent="0.15"/>
    <row r="7118" hidden="1" x14ac:dyDescent="0.15"/>
    <row r="7119" hidden="1" x14ac:dyDescent="0.15"/>
    <row r="7120" hidden="1" x14ac:dyDescent="0.15"/>
    <row r="7121" hidden="1" x14ac:dyDescent="0.15"/>
    <row r="7122" hidden="1" x14ac:dyDescent="0.15"/>
    <row r="7123" hidden="1" x14ac:dyDescent="0.15"/>
    <row r="7124" hidden="1" x14ac:dyDescent="0.15"/>
    <row r="7125" hidden="1" x14ac:dyDescent="0.15"/>
    <row r="7126" hidden="1" x14ac:dyDescent="0.15"/>
    <row r="7127" hidden="1" x14ac:dyDescent="0.15"/>
    <row r="7128" hidden="1" x14ac:dyDescent="0.15"/>
    <row r="7129" hidden="1" x14ac:dyDescent="0.15"/>
    <row r="7130" hidden="1" x14ac:dyDescent="0.15"/>
    <row r="7131" hidden="1" x14ac:dyDescent="0.15"/>
    <row r="7132" hidden="1" x14ac:dyDescent="0.15"/>
    <row r="7133" hidden="1" x14ac:dyDescent="0.15"/>
    <row r="7134" hidden="1" x14ac:dyDescent="0.15"/>
    <row r="7135" hidden="1" x14ac:dyDescent="0.15"/>
    <row r="7136" hidden="1" x14ac:dyDescent="0.15"/>
    <row r="7137" hidden="1" x14ac:dyDescent="0.15"/>
    <row r="7138" hidden="1" x14ac:dyDescent="0.15"/>
    <row r="7139" hidden="1" x14ac:dyDescent="0.15"/>
    <row r="7140" hidden="1" x14ac:dyDescent="0.15"/>
    <row r="7141" hidden="1" x14ac:dyDescent="0.15"/>
    <row r="7142" hidden="1" x14ac:dyDescent="0.15"/>
    <row r="7143" hidden="1" x14ac:dyDescent="0.15"/>
    <row r="7144" hidden="1" x14ac:dyDescent="0.15"/>
    <row r="7145" hidden="1" x14ac:dyDescent="0.15"/>
    <row r="7146" hidden="1" x14ac:dyDescent="0.15"/>
    <row r="7147" hidden="1" x14ac:dyDescent="0.15"/>
    <row r="7148" hidden="1" x14ac:dyDescent="0.15"/>
    <row r="7149" hidden="1" x14ac:dyDescent="0.15"/>
    <row r="7150" hidden="1" x14ac:dyDescent="0.15"/>
    <row r="7151" hidden="1" x14ac:dyDescent="0.15"/>
    <row r="7152" hidden="1" x14ac:dyDescent="0.15"/>
    <row r="7153" hidden="1" x14ac:dyDescent="0.15"/>
    <row r="7154" hidden="1" x14ac:dyDescent="0.15"/>
    <row r="7155" hidden="1" x14ac:dyDescent="0.15"/>
    <row r="7156" hidden="1" x14ac:dyDescent="0.15"/>
    <row r="7157" hidden="1" x14ac:dyDescent="0.15"/>
    <row r="7158" hidden="1" x14ac:dyDescent="0.15"/>
    <row r="7159" hidden="1" x14ac:dyDescent="0.15"/>
    <row r="7160" hidden="1" x14ac:dyDescent="0.15"/>
    <row r="7161" hidden="1" x14ac:dyDescent="0.15"/>
    <row r="7162" hidden="1" x14ac:dyDescent="0.15"/>
    <row r="7163" hidden="1" x14ac:dyDescent="0.15"/>
    <row r="7164" hidden="1" x14ac:dyDescent="0.15"/>
    <row r="7165" hidden="1" x14ac:dyDescent="0.15"/>
    <row r="7166" hidden="1" x14ac:dyDescent="0.15"/>
    <row r="7167" hidden="1" x14ac:dyDescent="0.15"/>
    <row r="7168" hidden="1" x14ac:dyDescent="0.15"/>
    <row r="7169" hidden="1" x14ac:dyDescent="0.15"/>
    <row r="7170" hidden="1" x14ac:dyDescent="0.15"/>
    <row r="7171" hidden="1" x14ac:dyDescent="0.15"/>
    <row r="7172" hidden="1" x14ac:dyDescent="0.15"/>
    <row r="7173" hidden="1" x14ac:dyDescent="0.15"/>
    <row r="7174" hidden="1" x14ac:dyDescent="0.15"/>
    <row r="7175" hidden="1" x14ac:dyDescent="0.15"/>
    <row r="7176" hidden="1" x14ac:dyDescent="0.15"/>
    <row r="7177" hidden="1" x14ac:dyDescent="0.15"/>
    <row r="7178" hidden="1" x14ac:dyDescent="0.15"/>
    <row r="7179" hidden="1" x14ac:dyDescent="0.15"/>
    <row r="7180" hidden="1" x14ac:dyDescent="0.15"/>
    <row r="7181" hidden="1" x14ac:dyDescent="0.15"/>
    <row r="7182" hidden="1" x14ac:dyDescent="0.15"/>
    <row r="7183" hidden="1" x14ac:dyDescent="0.15"/>
    <row r="7184" hidden="1" x14ac:dyDescent="0.15"/>
    <row r="7185" hidden="1" x14ac:dyDescent="0.15"/>
    <row r="7186" hidden="1" x14ac:dyDescent="0.15"/>
    <row r="7187" hidden="1" x14ac:dyDescent="0.15"/>
    <row r="7188" hidden="1" x14ac:dyDescent="0.15"/>
    <row r="7189" hidden="1" x14ac:dyDescent="0.15"/>
    <row r="7190" hidden="1" x14ac:dyDescent="0.15"/>
    <row r="7191" hidden="1" x14ac:dyDescent="0.15"/>
    <row r="7192" hidden="1" x14ac:dyDescent="0.15"/>
    <row r="7193" hidden="1" x14ac:dyDescent="0.15"/>
    <row r="7194" hidden="1" x14ac:dyDescent="0.15"/>
    <row r="7195" hidden="1" x14ac:dyDescent="0.15"/>
    <row r="7196" hidden="1" x14ac:dyDescent="0.15"/>
    <row r="7197" hidden="1" x14ac:dyDescent="0.15"/>
    <row r="7198" hidden="1" x14ac:dyDescent="0.15"/>
    <row r="7199" hidden="1" x14ac:dyDescent="0.15"/>
    <row r="7200" hidden="1" x14ac:dyDescent="0.15"/>
    <row r="7201" hidden="1" x14ac:dyDescent="0.15"/>
    <row r="7202" hidden="1" x14ac:dyDescent="0.15"/>
    <row r="7203" hidden="1" x14ac:dyDescent="0.15"/>
    <row r="7204" hidden="1" x14ac:dyDescent="0.15"/>
    <row r="7205" hidden="1" x14ac:dyDescent="0.15"/>
    <row r="7206" hidden="1" x14ac:dyDescent="0.15"/>
    <row r="7207" hidden="1" x14ac:dyDescent="0.15"/>
    <row r="7208" hidden="1" x14ac:dyDescent="0.15"/>
    <row r="7209" hidden="1" x14ac:dyDescent="0.15"/>
    <row r="7210" hidden="1" x14ac:dyDescent="0.15"/>
    <row r="7211" hidden="1" x14ac:dyDescent="0.15"/>
    <row r="7212" hidden="1" x14ac:dyDescent="0.15"/>
    <row r="7213" hidden="1" x14ac:dyDescent="0.15"/>
    <row r="7214" hidden="1" x14ac:dyDescent="0.15"/>
    <row r="7215" hidden="1" x14ac:dyDescent="0.15"/>
    <row r="7216" hidden="1" x14ac:dyDescent="0.15"/>
    <row r="7217" hidden="1" x14ac:dyDescent="0.15"/>
    <row r="7218" hidden="1" x14ac:dyDescent="0.15"/>
    <row r="7219" hidden="1" x14ac:dyDescent="0.15"/>
    <row r="7220" hidden="1" x14ac:dyDescent="0.15"/>
    <row r="7221" hidden="1" x14ac:dyDescent="0.15"/>
    <row r="7222" hidden="1" x14ac:dyDescent="0.15"/>
    <row r="7223" hidden="1" x14ac:dyDescent="0.15"/>
    <row r="7224" hidden="1" x14ac:dyDescent="0.15"/>
    <row r="7225" hidden="1" x14ac:dyDescent="0.15"/>
    <row r="7226" hidden="1" x14ac:dyDescent="0.15"/>
    <row r="7227" hidden="1" x14ac:dyDescent="0.15"/>
    <row r="7228" hidden="1" x14ac:dyDescent="0.15"/>
    <row r="7229" hidden="1" x14ac:dyDescent="0.15"/>
    <row r="7230" hidden="1" x14ac:dyDescent="0.15"/>
    <row r="7231" hidden="1" x14ac:dyDescent="0.15"/>
    <row r="7232" hidden="1" x14ac:dyDescent="0.15"/>
    <row r="7233" hidden="1" x14ac:dyDescent="0.15"/>
    <row r="7234" hidden="1" x14ac:dyDescent="0.15"/>
    <row r="7235" hidden="1" x14ac:dyDescent="0.15"/>
    <row r="7236" hidden="1" x14ac:dyDescent="0.15"/>
    <row r="7237" hidden="1" x14ac:dyDescent="0.15"/>
    <row r="7238" hidden="1" x14ac:dyDescent="0.15"/>
    <row r="7239" hidden="1" x14ac:dyDescent="0.15"/>
    <row r="7240" hidden="1" x14ac:dyDescent="0.15"/>
    <row r="7241" hidden="1" x14ac:dyDescent="0.15"/>
    <row r="7242" hidden="1" x14ac:dyDescent="0.15"/>
    <row r="7243" hidden="1" x14ac:dyDescent="0.15"/>
    <row r="7244" hidden="1" x14ac:dyDescent="0.15"/>
    <row r="7245" hidden="1" x14ac:dyDescent="0.15"/>
    <row r="7246" hidden="1" x14ac:dyDescent="0.15"/>
    <row r="7247" hidden="1" x14ac:dyDescent="0.15"/>
    <row r="7248" hidden="1" x14ac:dyDescent="0.15"/>
    <row r="7249" hidden="1" x14ac:dyDescent="0.15"/>
    <row r="7250" hidden="1" x14ac:dyDescent="0.15"/>
    <row r="7251" hidden="1" x14ac:dyDescent="0.15"/>
    <row r="7252" hidden="1" x14ac:dyDescent="0.15"/>
    <row r="7253" hidden="1" x14ac:dyDescent="0.15"/>
    <row r="7254" hidden="1" x14ac:dyDescent="0.15"/>
    <row r="7255" hidden="1" x14ac:dyDescent="0.15"/>
    <row r="7256" hidden="1" x14ac:dyDescent="0.15"/>
    <row r="7257" hidden="1" x14ac:dyDescent="0.15"/>
    <row r="7258" hidden="1" x14ac:dyDescent="0.15"/>
    <row r="7259" hidden="1" x14ac:dyDescent="0.15"/>
    <row r="7260" hidden="1" x14ac:dyDescent="0.15"/>
    <row r="7261" hidden="1" x14ac:dyDescent="0.15"/>
    <row r="7262" hidden="1" x14ac:dyDescent="0.15"/>
    <row r="7263" hidden="1" x14ac:dyDescent="0.15"/>
    <row r="7264" hidden="1" x14ac:dyDescent="0.15"/>
    <row r="7265" hidden="1" x14ac:dyDescent="0.15"/>
    <row r="7266" hidden="1" x14ac:dyDescent="0.15"/>
    <row r="7267" hidden="1" x14ac:dyDescent="0.15"/>
    <row r="7268" hidden="1" x14ac:dyDescent="0.15"/>
    <row r="7269" hidden="1" x14ac:dyDescent="0.15"/>
    <row r="7270" hidden="1" x14ac:dyDescent="0.15"/>
    <row r="7271" hidden="1" x14ac:dyDescent="0.15"/>
    <row r="7272" hidden="1" x14ac:dyDescent="0.15"/>
    <row r="7273" hidden="1" x14ac:dyDescent="0.15"/>
    <row r="7274" hidden="1" x14ac:dyDescent="0.15"/>
    <row r="7275" hidden="1" x14ac:dyDescent="0.15"/>
    <row r="7276" hidden="1" x14ac:dyDescent="0.15"/>
    <row r="7277" hidden="1" x14ac:dyDescent="0.15"/>
    <row r="7278" hidden="1" x14ac:dyDescent="0.15"/>
    <row r="7279" hidden="1" x14ac:dyDescent="0.15"/>
    <row r="7280" hidden="1" x14ac:dyDescent="0.15"/>
    <row r="7281" hidden="1" x14ac:dyDescent="0.15"/>
    <row r="7282" hidden="1" x14ac:dyDescent="0.15"/>
    <row r="7283" hidden="1" x14ac:dyDescent="0.15"/>
    <row r="7284" hidden="1" x14ac:dyDescent="0.15"/>
    <row r="7285" hidden="1" x14ac:dyDescent="0.15"/>
    <row r="7286" hidden="1" x14ac:dyDescent="0.15"/>
    <row r="7287" hidden="1" x14ac:dyDescent="0.15"/>
    <row r="7288" hidden="1" x14ac:dyDescent="0.15"/>
    <row r="7289" hidden="1" x14ac:dyDescent="0.15"/>
    <row r="7290" hidden="1" x14ac:dyDescent="0.15"/>
    <row r="7291" hidden="1" x14ac:dyDescent="0.15"/>
    <row r="7292" hidden="1" x14ac:dyDescent="0.15"/>
    <row r="7293" hidden="1" x14ac:dyDescent="0.15"/>
    <row r="7294" hidden="1" x14ac:dyDescent="0.15"/>
    <row r="7295" hidden="1" x14ac:dyDescent="0.15"/>
    <row r="7296" hidden="1" x14ac:dyDescent="0.15"/>
    <row r="7297" hidden="1" x14ac:dyDescent="0.15"/>
    <row r="7298" hidden="1" x14ac:dyDescent="0.15"/>
    <row r="7299" hidden="1" x14ac:dyDescent="0.15"/>
    <row r="7300" hidden="1" x14ac:dyDescent="0.15"/>
    <row r="7301" hidden="1" x14ac:dyDescent="0.15"/>
    <row r="7302" hidden="1" x14ac:dyDescent="0.15"/>
    <row r="7303" hidden="1" x14ac:dyDescent="0.15"/>
    <row r="7304" hidden="1" x14ac:dyDescent="0.15"/>
    <row r="7305" hidden="1" x14ac:dyDescent="0.15"/>
    <row r="7306" hidden="1" x14ac:dyDescent="0.15"/>
    <row r="7307" hidden="1" x14ac:dyDescent="0.15"/>
    <row r="7308" hidden="1" x14ac:dyDescent="0.15"/>
    <row r="7309" hidden="1" x14ac:dyDescent="0.15"/>
    <row r="7310" hidden="1" x14ac:dyDescent="0.15"/>
    <row r="7311" hidden="1" x14ac:dyDescent="0.15"/>
    <row r="7312" hidden="1" x14ac:dyDescent="0.15"/>
    <row r="7313" hidden="1" x14ac:dyDescent="0.15"/>
    <row r="7314" hidden="1" x14ac:dyDescent="0.15"/>
    <row r="7315" hidden="1" x14ac:dyDescent="0.15"/>
    <row r="7316" hidden="1" x14ac:dyDescent="0.15"/>
    <row r="7317" hidden="1" x14ac:dyDescent="0.15"/>
    <row r="7318" hidden="1" x14ac:dyDescent="0.15"/>
    <row r="7319" hidden="1" x14ac:dyDescent="0.15"/>
    <row r="7320" hidden="1" x14ac:dyDescent="0.15"/>
    <row r="7321" hidden="1" x14ac:dyDescent="0.15"/>
    <row r="7322" hidden="1" x14ac:dyDescent="0.15"/>
    <row r="7323" hidden="1" x14ac:dyDescent="0.15"/>
    <row r="7324" hidden="1" x14ac:dyDescent="0.15"/>
    <row r="7325" hidden="1" x14ac:dyDescent="0.15"/>
    <row r="7326" hidden="1" x14ac:dyDescent="0.15"/>
    <row r="7327" hidden="1" x14ac:dyDescent="0.15"/>
    <row r="7328" hidden="1" x14ac:dyDescent="0.15"/>
    <row r="7329" hidden="1" x14ac:dyDescent="0.15"/>
    <row r="7330" hidden="1" x14ac:dyDescent="0.15"/>
    <row r="7331" hidden="1" x14ac:dyDescent="0.15"/>
    <row r="7332" hidden="1" x14ac:dyDescent="0.15"/>
    <row r="7333" hidden="1" x14ac:dyDescent="0.15"/>
    <row r="7334" hidden="1" x14ac:dyDescent="0.15"/>
    <row r="7335" hidden="1" x14ac:dyDescent="0.15"/>
    <row r="7336" hidden="1" x14ac:dyDescent="0.15"/>
    <row r="7337" hidden="1" x14ac:dyDescent="0.15"/>
    <row r="7338" hidden="1" x14ac:dyDescent="0.15"/>
    <row r="7339" hidden="1" x14ac:dyDescent="0.15"/>
    <row r="7340" hidden="1" x14ac:dyDescent="0.15"/>
    <row r="7341" hidden="1" x14ac:dyDescent="0.15"/>
    <row r="7342" hidden="1" x14ac:dyDescent="0.15"/>
    <row r="7343" hidden="1" x14ac:dyDescent="0.15"/>
    <row r="7344" hidden="1" x14ac:dyDescent="0.15"/>
    <row r="7345" hidden="1" x14ac:dyDescent="0.15"/>
    <row r="7346" hidden="1" x14ac:dyDescent="0.15"/>
    <row r="7347" hidden="1" x14ac:dyDescent="0.15"/>
    <row r="7348" hidden="1" x14ac:dyDescent="0.15"/>
    <row r="7349" hidden="1" x14ac:dyDescent="0.15"/>
    <row r="7350" hidden="1" x14ac:dyDescent="0.15"/>
    <row r="7351" hidden="1" x14ac:dyDescent="0.15"/>
    <row r="7352" hidden="1" x14ac:dyDescent="0.15"/>
    <row r="7353" hidden="1" x14ac:dyDescent="0.15"/>
    <row r="7354" hidden="1" x14ac:dyDescent="0.15"/>
    <row r="7355" hidden="1" x14ac:dyDescent="0.15"/>
    <row r="7356" hidden="1" x14ac:dyDescent="0.15"/>
    <row r="7357" hidden="1" x14ac:dyDescent="0.15"/>
    <row r="7358" hidden="1" x14ac:dyDescent="0.15"/>
    <row r="7359" hidden="1" x14ac:dyDescent="0.15"/>
    <row r="7360" hidden="1" x14ac:dyDescent="0.15"/>
    <row r="7361" hidden="1" x14ac:dyDescent="0.15"/>
    <row r="7362" hidden="1" x14ac:dyDescent="0.15"/>
    <row r="7363" hidden="1" x14ac:dyDescent="0.15"/>
    <row r="7364" hidden="1" x14ac:dyDescent="0.15"/>
    <row r="7365" hidden="1" x14ac:dyDescent="0.15"/>
    <row r="7366" hidden="1" x14ac:dyDescent="0.15"/>
    <row r="7367" hidden="1" x14ac:dyDescent="0.15"/>
    <row r="7368" hidden="1" x14ac:dyDescent="0.15"/>
    <row r="7369" hidden="1" x14ac:dyDescent="0.15"/>
    <row r="7370" hidden="1" x14ac:dyDescent="0.15"/>
    <row r="7371" hidden="1" x14ac:dyDescent="0.15"/>
    <row r="7372" hidden="1" x14ac:dyDescent="0.15"/>
    <row r="7373" hidden="1" x14ac:dyDescent="0.15"/>
    <row r="7374" hidden="1" x14ac:dyDescent="0.15"/>
    <row r="7375" hidden="1" x14ac:dyDescent="0.15"/>
    <row r="7376" hidden="1" x14ac:dyDescent="0.15"/>
    <row r="7377" hidden="1" x14ac:dyDescent="0.15"/>
    <row r="7378" hidden="1" x14ac:dyDescent="0.15"/>
    <row r="7379" hidden="1" x14ac:dyDescent="0.15"/>
    <row r="7380" hidden="1" x14ac:dyDescent="0.15"/>
    <row r="7381" hidden="1" x14ac:dyDescent="0.15"/>
    <row r="7382" hidden="1" x14ac:dyDescent="0.15"/>
    <row r="7383" hidden="1" x14ac:dyDescent="0.15"/>
    <row r="7384" hidden="1" x14ac:dyDescent="0.15"/>
    <row r="7385" hidden="1" x14ac:dyDescent="0.15"/>
    <row r="7386" hidden="1" x14ac:dyDescent="0.15"/>
    <row r="7387" hidden="1" x14ac:dyDescent="0.15"/>
    <row r="7388" hidden="1" x14ac:dyDescent="0.15"/>
    <row r="7389" hidden="1" x14ac:dyDescent="0.15"/>
    <row r="7390" hidden="1" x14ac:dyDescent="0.15"/>
    <row r="7391" hidden="1" x14ac:dyDescent="0.15"/>
    <row r="7392" hidden="1" x14ac:dyDescent="0.15"/>
    <row r="7393" hidden="1" x14ac:dyDescent="0.15"/>
    <row r="7394" hidden="1" x14ac:dyDescent="0.15"/>
    <row r="7395" hidden="1" x14ac:dyDescent="0.15"/>
    <row r="7396" hidden="1" x14ac:dyDescent="0.15"/>
    <row r="7397" hidden="1" x14ac:dyDescent="0.15"/>
    <row r="7398" hidden="1" x14ac:dyDescent="0.15"/>
    <row r="7399" hidden="1" x14ac:dyDescent="0.15"/>
    <row r="7400" hidden="1" x14ac:dyDescent="0.15"/>
    <row r="7401" hidden="1" x14ac:dyDescent="0.15"/>
    <row r="7402" hidden="1" x14ac:dyDescent="0.15"/>
    <row r="7403" hidden="1" x14ac:dyDescent="0.15"/>
    <row r="7404" hidden="1" x14ac:dyDescent="0.15"/>
    <row r="7405" hidden="1" x14ac:dyDescent="0.15"/>
    <row r="7406" hidden="1" x14ac:dyDescent="0.15"/>
    <row r="7407" hidden="1" x14ac:dyDescent="0.15"/>
    <row r="7408" hidden="1" x14ac:dyDescent="0.15"/>
    <row r="7409" hidden="1" x14ac:dyDescent="0.15"/>
    <row r="7410" hidden="1" x14ac:dyDescent="0.15"/>
    <row r="7411" hidden="1" x14ac:dyDescent="0.15"/>
    <row r="7412" hidden="1" x14ac:dyDescent="0.15"/>
    <row r="7413" hidden="1" x14ac:dyDescent="0.15"/>
    <row r="7414" hidden="1" x14ac:dyDescent="0.15"/>
    <row r="7415" hidden="1" x14ac:dyDescent="0.15"/>
    <row r="7416" hidden="1" x14ac:dyDescent="0.15"/>
    <row r="7417" hidden="1" x14ac:dyDescent="0.15"/>
    <row r="7418" hidden="1" x14ac:dyDescent="0.15"/>
    <row r="7419" hidden="1" x14ac:dyDescent="0.15"/>
    <row r="7420" hidden="1" x14ac:dyDescent="0.15"/>
    <row r="7421" hidden="1" x14ac:dyDescent="0.15"/>
    <row r="7422" hidden="1" x14ac:dyDescent="0.15"/>
    <row r="7423" hidden="1" x14ac:dyDescent="0.15"/>
    <row r="7424" hidden="1" x14ac:dyDescent="0.15"/>
    <row r="7425" hidden="1" x14ac:dyDescent="0.15"/>
    <row r="7426" hidden="1" x14ac:dyDescent="0.15"/>
    <row r="7427" hidden="1" x14ac:dyDescent="0.15"/>
    <row r="7428" hidden="1" x14ac:dyDescent="0.15"/>
    <row r="7429" hidden="1" x14ac:dyDescent="0.15"/>
    <row r="7430" hidden="1" x14ac:dyDescent="0.15"/>
    <row r="7431" hidden="1" x14ac:dyDescent="0.15"/>
    <row r="7432" hidden="1" x14ac:dyDescent="0.15"/>
    <row r="7433" hidden="1" x14ac:dyDescent="0.15"/>
    <row r="7434" hidden="1" x14ac:dyDescent="0.15"/>
    <row r="7435" hidden="1" x14ac:dyDescent="0.15"/>
    <row r="7436" hidden="1" x14ac:dyDescent="0.15"/>
    <row r="7437" hidden="1" x14ac:dyDescent="0.15"/>
    <row r="7438" hidden="1" x14ac:dyDescent="0.15"/>
    <row r="7439" hidden="1" x14ac:dyDescent="0.15"/>
    <row r="7440" hidden="1" x14ac:dyDescent="0.15"/>
    <row r="7441" hidden="1" x14ac:dyDescent="0.15"/>
    <row r="7442" hidden="1" x14ac:dyDescent="0.15"/>
    <row r="7443" hidden="1" x14ac:dyDescent="0.15"/>
    <row r="7444" hidden="1" x14ac:dyDescent="0.15"/>
    <row r="7445" hidden="1" x14ac:dyDescent="0.15"/>
    <row r="7446" hidden="1" x14ac:dyDescent="0.15"/>
    <row r="7447" hidden="1" x14ac:dyDescent="0.15"/>
    <row r="7448" hidden="1" x14ac:dyDescent="0.15"/>
    <row r="7449" hidden="1" x14ac:dyDescent="0.15"/>
    <row r="7450" hidden="1" x14ac:dyDescent="0.15"/>
    <row r="7451" hidden="1" x14ac:dyDescent="0.15"/>
    <row r="7452" hidden="1" x14ac:dyDescent="0.15"/>
    <row r="7453" hidden="1" x14ac:dyDescent="0.15"/>
    <row r="7454" hidden="1" x14ac:dyDescent="0.15"/>
    <row r="7455" hidden="1" x14ac:dyDescent="0.15"/>
    <row r="7456" hidden="1" x14ac:dyDescent="0.15"/>
    <row r="7457" hidden="1" x14ac:dyDescent="0.15"/>
    <row r="7458" hidden="1" x14ac:dyDescent="0.15"/>
    <row r="7459" hidden="1" x14ac:dyDescent="0.15"/>
    <row r="7460" hidden="1" x14ac:dyDescent="0.15"/>
    <row r="7461" hidden="1" x14ac:dyDescent="0.15"/>
    <row r="7462" hidden="1" x14ac:dyDescent="0.15"/>
    <row r="7463" hidden="1" x14ac:dyDescent="0.15"/>
    <row r="7464" hidden="1" x14ac:dyDescent="0.15"/>
    <row r="7465" hidden="1" x14ac:dyDescent="0.15"/>
    <row r="7466" hidden="1" x14ac:dyDescent="0.15"/>
    <row r="7467" hidden="1" x14ac:dyDescent="0.15"/>
    <row r="7468" hidden="1" x14ac:dyDescent="0.15"/>
    <row r="7469" hidden="1" x14ac:dyDescent="0.15"/>
    <row r="7470" hidden="1" x14ac:dyDescent="0.15"/>
    <row r="7471" hidden="1" x14ac:dyDescent="0.15"/>
    <row r="7472" hidden="1" x14ac:dyDescent="0.15"/>
    <row r="7473" hidden="1" x14ac:dyDescent="0.15"/>
    <row r="7474" hidden="1" x14ac:dyDescent="0.15"/>
    <row r="7475" hidden="1" x14ac:dyDescent="0.15"/>
    <row r="7476" hidden="1" x14ac:dyDescent="0.15"/>
    <row r="7477" hidden="1" x14ac:dyDescent="0.15"/>
    <row r="7478" hidden="1" x14ac:dyDescent="0.15"/>
    <row r="7479" hidden="1" x14ac:dyDescent="0.15"/>
    <row r="7480" hidden="1" x14ac:dyDescent="0.15"/>
    <row r="7481" hidden="1" x14ac:dyDescent="0.15"/>
    <row r="7482" hidden="1" x14ac:dyDescent="0.15"/>
    <row r="7483" hidden="1" x14ac:dyDescent="0.15"/>
    <row r="7484" hidden="1" x14ac:dyDescent="0.15"/>
    <row r="7485" hidden="1" x14ac:dyDescent="0.15"/>
    <row r="7486" hidden="1" x14ac:dyDescent="0.15"/>
    <row r="7487" hidden="1" x14ac:dyDescent="0.15"/>
    <row r="7488" hidden="1" x14ac:dyDescent="0.15"/>
    <row r="7489" hidden="1" x14ac:dyDescent="0.15"/>
    <row r="7490" hidden="1" x14ac:dyDescent="0.15"/>
    <row r="7491" hidden="1" x14ac:dyDescent="0.15"/>
    <row r="7492" hidden="1" x14ac:dyDescent="0.15"/>
    <row r="7493" hidden="1" x14ac:dyDescent="0.15"/>
    <row r="7494" hidden="1" x14ac:dyDescent="0.15"/>
    <row r="7495" hidden="1" x14ac:dyDescent="0.15"/>
    <row r="7496" hidden="1" x14ac:dyDescent="0.15"/>
    <row r="7497" hidden="1" x14ac:dyDescent="0.15"/>
    <row r="7498" hidden="1" x14ac:dyDescent="0.15"/>
    <row r="7499" hidden="1" x14ac:dyDescent="0.15"/>
    <row r="7500" hidden="1" x14ac:dyDescent="0.15"/>
    <row r="7501" hidden="1" x14ac:dyDescent="0.15"/>
    <row r="7502" hidden="1" x14ac:dyDescent="0.15"/>
    <row r="7503" hidden="1" x14ac:dyDescent="0.15"/>
    <row r="7504" hidden="1" x14ac:dyDescent="0.15"/>
    <row r="7505" hidden="1" x14ac:dyDescent="0.15"/>
    <row r="7506" hidden="1" x14ac:dyDescent="0.15"/>
    <row r="7507" hidden="1" x14ac:dyDescent="0.15"/>
    <row r="7508" hidden="1" x14ac:dyDescent="0.15"/>
    <row r="7509" hidden="1" x14ac:dyDescent="0.15"/>
    <row r="7510" hidden="1" x14ac:dyDescent="0.15"/>
    <row r="7511" hidden="1" x14ac:dyDescent="0.15"/>
    <row r="7512" hidden="1" x14ac:dyDescent="0.15"/>
    <row r="7513" hidden="1" x14ac:dyDescent="0.15"/>
    <row r="7514" hidden="1" x14ac:dyDescent="0.15"/>
    <row r="7515" hidden="1" x14ac:dyDescent="0.15"/>
    <row r="7516" hidden="1" x14ac:dyDescent="0.15"/>
    <row r="7517" hidden="1" x14ac:dyDescent="0.15"/>
    <row r="7518" hidden="1" x14ac:dyDescent="0.15"/>
    <row r="7519" hidden="1" x14ac:dyDescent="0.15"/>
    <row r="7520" hidden="1" x14ac:dyDescent="0.15"/>
    <row r="7521" hidden="1" x14ac:dyDescent="0.15"/>
    <row r="7522" hidden="1" x14ac:dyDescent="0.15"/>
    <row r="7523" hidden="1" x14ac:dyDescent="0.15"/>
    <row r="7524" hidden="1" x14ac:dyDescent="0.15"/>
    <row r="7525" hidden="1" x14ac:dyDescent="0.15"/>
    <row r="7526" hidden="1" x14ac:dyDescent="0.15"/>
    <row r="7527" hidden="1" x14ac:dyDescent="0.15"/>
    <row r="7528" hidden="1" x14ac:dyDescent="0.15"/>
    <row r="7529" hidden="1" x14ac:dyDescent="0.15"/>
    <row r="7530" hidden="1" x14ac:dyDescent="0.15"/>
    <row r="7531" hidden="1" x14ac:dyDescent="0.15"/>
    <row r="7532" hidden="1" x14ac:dyDescent="0.15"/>
    <row r="7533" hidden="1" x14ac:dyDescent="0.15"/>
    <row r="7534" hidden="1" x14ac:dyDescent="0.15"/>
    <row r="7535" hidden="1" x14ac:dyDescent="0.15"/>
    <row r="7536" hidden="1" x14ac:dyDescent="0.15"/>
    <row r="7537" hidden="1" x14ac:dyDescent="0.15"/>
    <row r="7538" hidden="1" x14ac:dyDescent="0.15"/>
    <row r="7539" hidden="1" x14ac:dyDescent="0.15"/>
    <row r="7540" hidden="1" x14ac:dyDescent="0.15"/>
    <row r="7541" hidden="1" x14ac:dyDescent="0.15"/>
    <row r="7542" hidden="1" x14ac:dyDescent="0.15"/>
    <row r="7543" hidden="1" x14ac:dyDescent="0.15"/>
    <row r="7544" hidden="1" x14ac:dyDescent="0.15"/>
    <row r="7545" hidden="1" x14ac:dyDescent="0.15"/>
    <row r="7546" hidden="1" x14ac:dyDescent="0.15"/>
    <row r="7547" hidden="1" x14ac:dyDescent="0.15"/>
    <row r="7548" hidden="1" x14ac:dyDescent="0.15"/>
    <row r="7549" hidden="1" x14ac:dyDescent="0.15"/>
    <row r="7550" hidden="1" x14ac:dyDescent="0.15"/>
    <row r="7551" hidden="1" x14ac:dyDescent="0.15"/>
    <row r="7552" hidden="1" x14ac:dyDescent="0.15"/>
    <row r="7553" hidden="1" x14ac:dyDescent="0.15"/>
    <row r="7554" hidden="1" x14ac:dyDescent="0.15"/>
    <row r="7555" hidden="1" x14ac:dyDescent="0.15"/>
    <row r="7556" hidden="1" x14ac:dyDescent="0.15"/>
    <row r="7557" hidden="1" x14ac:dyDescent="0.15"/>
    <row r="7558" hidden="1" x14ac:dyDescent="0.15"/>
    <row r="7559" hidden="1" x14ac:dyDescent="0.15"/>
    <row r="7560" hidden="1" x14ac:dyDescent="0.15"/>
    <row r="7561" hidden="1" x14ac:dyDescent="0.15"/>
    <row r="7562" hidden="1" x14ac:dyDescent="0.15"/>
    <row r="7563" hidden="1" x14ac:dyDescent="0.15"/>
    <row r="7564" hidden="1" x14ac:dyDescent="0.15"/>
    <row r="7565" hidden="1" x14ac:dyDescent="0.15"/>
    <row r="7566" hidden="1" x14ac:dyDescent="0.15"/>
    <row r="7567" hidden="1" x14ac:dyDescent="0.15"/>
    <row r="7568" hidden="1" x14ac:dyDescent="0.15"/>
    <row r="7569" hidden="1" x14ac:dyDescent="0.15"/>
    <row r="7570" hidden="1" x14ac:dyDescent="0.15"/>
    <row r="7571" hidden="1" x14ac:dyDescent="0.15"/>
    <row r="7572" hidden="1" x14ac:dyDescent="0.15"/>
    <row r="7573" hidden="1" x14ac:dyDescent="0.15"/>
    <row r="7574" hidden="1" x14ac:dyDescent="0.15"/>
    <row r="7575" hidden="1" x14ac:dyDescent="0.15"/>
    <row r="7576" hidden="1" x14ac:dyDescent="0.15"/>
    <row r="7577" hidden="1" x14ac:dyDescent="0.15"/>
    <row r="7578" hidden="1" x14ac:dyDescent="0.15"/>
    <row r="7579" hidden="1" x14ac:dyDescent="0.15"/>
    <row r="7580" hidden="1" x14ac:dyDescent="0.15"/>
    <row r="7581" hidden="1" x14ac:dyDescent="0.15"/>
    <row r="7582" hidden="1" x14ac:dyDescent="0.15"/>
    <row r="7583" hidden="1" x14ac:dyDescent="0.15"/>
    <row r="7584" hidden="1" x14ac:dyDescent="0.15"/>
    <row r="7585" hidden="1" x14ac:dyDescent="0.15"/>
    <row r="7586" hidden="1" x14ac:dyDescent="0.15"/>
    <row r="7587" hidden="1" x14ac:dyDescent="0.15"/>
    <row r="7588" hidden="1" x14ac:dyDescent="0.15"/>
    <row r="7589" hidden="1" x14ac:dyDescent="0.15"/>
    <row r="7590" hidden="1" x14ac:dyDescent="0.15"/>
    <row r="7591" hidden="1" x14ac:dyDescent="0.15"/>
    <row r="7592" hidden="1" x14ac:dyDescent="0.15"/>
    <row r="7593" hidden="1" x14ac:dyDescent="0.15"/>
    <row r="7594" hidden="1" x14ac:dyDescent="0.15"/>
    <row r="7595" hidden="1" x14ac:dyDescent="0.15"/>
    <row r="7596" hidden="1" x14ac:dyDescent="0.15"/>
    <row r="7597" hidden="1" x14ac:dyDescent="0.15"/>
    <row r="7598" hidden="1" x14ac:dyDescent="0.15"/>
    <row r="7599" hidden="1" x14ac:dyDescent="0.15"/>
    <row r="7600" hidden="1" x14ac:dyDescent="0.15"/>
    <row r="7601" hidden="1" x14ac:dyDescent="0.15"/>
    <row r="7602" hidden="1" x14ac:dyDescent="0.15"/>
    <row r="7603" hidden="1" x14ac:dyDescent="0.15"/>
    <row r="7604" hidden="1" x14ac:dyDescent="0.15"/>
    <row r="7605" hidden="1" x14ac:dyDescent="0.15"/>
    <row r="7606" hidden="1" x14ac:dyDescent="0.15"/>
    <row r="7607" hidden="1" x14ac:dyDescent="0.15"/>
    <row r="7608" hidden="1" x14ac:dyDescent="0.15"/>
    <row r="7609" hidden="1" x14ac:dyDescent="0.15"/>
    <row r="7610" hidden="1" x14ac:dyDescent="0.15"/>
    <row r="7611" hidden="1" x14ac:dyDescent="0.15"/>
    <row r="7612" hidden="1" x14ac:dyDescent="0.15"/>
    <row r="7613" hidden="1" x14ac:dyDescent="0.15"/>
    <row r="7614" hidden="1" x14ac:dyDescent="0.15"/>
    <row r="7615" hidden="1" x14ac:dyDescent="0.15"/>
    <row r="7616" hidden="1" x14ac:dyDescent="0.15"/>
    <row r="7617" hidden="1" x14ac:dyDescent="0.15"/>
    <row r="7618" hidden="1" x14ac:dyDescent="0.15"/>
    <row r="7619" hidden="1" x14ac:dyDescent="0.15"/>
    <row r="7620" hidden="1" x14ac:dyDescent="0.15"/>
    <row r="7621" hidden="1" x14ac:dyDescent="0.15"/>
    <row r="7622" hidden="1" x14ac:dyDescent="0.15"/>
    <row r="7623" hidden="1" x14ac:dyDescent="0.15"/>
    <row r="7624" hidden="1" x14ac:dyDescent="0.15"/>
    <row r="7625" hidden="1" x14ac:dyDescent="0.15"/>
    <row r="7626" hidden="1" x14ac:dyDescent="0.15"/>
    <row r="7627" hidden="1" x14ac:dyDescent="0.15"/>
    <row r="7628" hidden="1" x14ac:dyDescent="0.15"/>
    <row r="7629" hidden="1" x14ac:dyDescent="0.15"/>
    <row r="7630" hidden="1" x14ac:dyDescent="0.15"/>
    <row r="7631" hidden="1" x14ac:dyDescent="0.15"/>
    <row r="7632" hidden="1" x14ac:dyDescent="0.15"/>
    <row r="7633" hidden="1" x14ac:dyDescent="0.15"/>
    <row r="7634" hidden="1" x14ac:dyDescent="0.15"/>
    <row r="7635" hidden="1" x14ac:dyDescent="0.15"/>
    <row r="7636" hidden="1" x14ac:dyDescent="0.15"/>
    <row r="7637" hidden="1" x14ac:dyDescent="0.15"/>
    <row r="7638" hidden="1" x14ac:dyDescent="0.15"/>
    <row r="7639" hidden="1" x14ac:dyDescent="0.15"/>
    <row r="7640" hidden="1" x14ac:dyDescent="0.15"/>
    <row r="7641" hidden="1" x14ac:dyDescent="0.15"/>
    <row r="7642" hidden="1" x14ac:dyDescent="0.15"/>
    <row r="7643" hidden="1" x14ac:dyDescent="0.15"/>
    <row r="7644" hidden="1" x14ac:dyDescent="0.15"/>
    <row r="7645" hidden="1" x14ac:dyDescent="0.15"/>
    <row r="7646" hidden="1" x14ac:dyDescent="0.15"/>
    <row r="7647" hidden="1" x14ac:dyDescent="0.15"/>
    <row r="7648" hidden="1" x14ac:dyDescent="0.15"/>
    <row r="7649" hidden="1" x14ac:dyDescent="0.15"/>
    <row r="7650" hidden="1" x14ac:dyDescent="0.15"/>
    <row r="7651" hidden="1" x14ac:dyDescent="0.15"/>
    <row r="7652" hidden="1" x14ac:dyDescent="0.15"/>
    <row r="7653" hidden="1" x14ac:dyDescent="0.15"/>
    <row r="7654" hidden="1" x14ac:dyDescent="0.15"/>
    <row r="7655" hidden="1" x14ac:dyDescent="0.15"/>
    <row r="7656" hidden="1" x14ac:dyDescent="0.15"/>
    <row r="7657" hidden="1" x14ac:dyDescent="0.15"/>
    <row r="7658" hidden="1" x14ac:dyDescent="0.15"/>
    <row r="7659" hidden="1" x14ac:dyDescent="0.15"/>
    <row r="7660" hidden="1" x14ac:dyDescent="0.15"/>
    <row r="7661" hidden="1" x14ac:dyDescent="0.15"/>
    <row r="7662" hidden="1" x14ac:dyDescent="0.15"/>
    <row r="7663" hidden="1" x14ac:dyDescent="0.15"/>
    <row r="7664" hidden="1" x14ac:dyDescent="0.15"/>
    <row r="7665" hidden="1" x14ac:dyDescent="0.15"/>
    <row r="7666" hidden="1" x14ac:dyDescent="0.15"/>
    <row r="7667" hidden="1" x14ac:dyDescent="0.15"/>
    <row r="7668" hidden="1" x14ac:dyDescent="0.15"/>
    <row r="7669" hidden="1" x14ac:dyDescent="0.15"/>
    <row r="7670" hidden="1" x14ac:dyDescent="0.15"/>
    <row r="7671" hidden="1" x14ac:dyDescent="0.15"/>
    <row r="7672" hidden="1" x14ac:dyDescent="0.15"/>
    <row r="7673" hidden="1" x14ac:dyDescent="0.15"/>
    <row r="7674" hidden="1" x14ac:dyDescent="0.15"/>
    <row r="7675" hidden="1" x14ac:dyDescent="0.15"/>
    <row r="7676" hidden="1" x14ac:dyDescent="0.15"/>
    <row r="7677" hidden="1" x14ac:dyDescent="0.15"/>
    <row r="7678" hidden="1" x14ac:dyDescent="0.15"/>
    <row r="7679" hidden="1" x14ac:dyDescent="0.15"/>
    <row r="7680" hidden="1" x14ac:dyDescent="0.15"/>
    <row r="7681" hidden="1" x14ac:dyDescent="0.15"/>
    <row r="7682" hidden="1" x14ac:dyDescent="0.15"/>
    <row r="7683" hidden="1" x14ac:dyDescent="0.15"/>
    <row r="7684" hidden="1" x14ac:dyDescent="0.15"/>
    <row r="7685" hidden="1" x14ac:dyDescent="0.15"/>
    <row r="7686" hidden="1" x14ac:dyDescent="0.15"/>
    <row r="7687" hidden="1" x14ac:dyDescent="0.15"/>
    <row r="7688" hidden="1" x14ac:dyDescent="0.15"/>
    <row r="7689" hidden="1" x14ac:dyDescent="0.15"/>
    <row r="7690" hidden="1" x14ac:dyDescent="0.15"/>
    <row r="7691" hidden="1" x14ac:dyDescent="0.15"/>
    <row r="7692" hidden="1" x14ac:dyDescent="0.15"/>
    <row r="7693" hidden="1" x14ac:dyDescent="0.15"/>
    <row r="7694" hidden="1" x14ac:dyDescent="0.15"/>
    <row r="7695" hidden="1" x14ac:dyDescent="0.15"/>
    <row r="7696" hidden="1" x14ac:dyDescent="0.15"/>
    <row r="7697" hidden="1" x14ac:dyDescent="0.15"/>
    <row r="7698" hidden="1" x14ac:dyDescent="0.15"/>
    <row r="7699" hidden="1" x14ac:dyDescent="0.15"/>
    <row r="7700" hidden="1" x14ac:dyDescent="0.15"/>
    <row r="7701" hidden="1" x14ac:dyDescent="0.15"/>
    <row r="7702" hidden="1" x14ac:dyDescent="0.15"/>
    <row r="7703" hidden="1" x14ac:dyDescent="0.15"/>
    <row r="7704" hidden="1" x14ac:dyDescent="0.15"/>
    <row r="7705" hidden="1" x14ac:dyDescent="0.15"/>
    <row r="7706" hidden="1" x14ac:dyDescent="0.15"/>
    <row r="7707" hidden="1" x14ac:dyDescent="0.15"/>
    <row r="7708" hidden="1" x14ac:dyDescent="0.15"/>
    <row r="7709" hidden="1" x14ac:dyDescent="0.15"/>
    <row r="7710" hidden="1" x14ac:dyDescent="0.15"/>
    <row r="7711" hidden="1" x14ac:dyDescent="0.15"/>
    <row r="7712" hidden="1" x14ac:dyDescent="0.15"/>
    <row r="7713" hidden="1" x14ac:dyDescent="0.15"/>
    <row r="7714" hidden="1" x14ac:dyDescent="0.15"/>
    <row r="7715" hidden="1" x14ac:dyDescent="0.15"/>
    <row r="7716" hidden="1" x14ac:dyDescent="0.15"/>
    <row r="7717" hidden="1" x14ac:dyDescent="0.15"/>
    <row r="7718" hidden="1" x14ac:dyDescent="0.15"/>
    <row r="7719" hidden="1" x14ac:dyDescent="0.15"/>
    <row r="7720" hidden="1" x14ac:dyDescent="0.15"/>
    <row r="7721" hidden="1" x14ac:dyDescent="0.15"/>
    <row r="7722" hidden="1" x14ac:dyDescent="0.15"/>
    <row r="7723" hidden="1" x14ac:dyDescent="0.15"/>
    <row r="7724" hidden="1" x14ac:dyDescent="0.15"/>
    <row r="7725" hidden="1" x14ac:dyDescent="0.15"/>
    <row r="7726" hidden="1" x14ac:dyDescent="0.15"/>
    <row r="7727" hidden="1" x14ac:dyDescent="0.15"/>
    <row r="7728" hidden="1" x14ac:dyDescent="0.15"/>
    <row r="7729" hidden="1" x14ac:dyDescent="0.15"/>
    <row r="7730" hidden="1" x14ac:dyDescent="0.15"/>
    <row r="7731" hidden="1" x14ac:dyDescent="0.15"/>
    <row r="7732" hidden="1" x14ac:dyDescent="0.15"/>
    <row r="7733" hidden="1" x14ac:dyDescent="0.15"/>
    <row r="7734" hidden="1" x14ac:dyDescent="0.15"/>
    <row r="7735" hidden="1" x14ac:dyDescent="0.15"/>
    <row r="7736" hidden="1" x14ac:dyDescent="0.15"/>
    <row r="7737" hidden="1" x14ac:dyDescent="0.15"/>
    <row r="7738" hidden="1" x14ac:dyDescent="0.15"/>
    <row r="7739" hidden="1" x14ac:dyDescent="0.15"/>
    <row r="7740" hidden="1" x14ac:dyDescent="0.15"/>
    <row r="7741" hidden="1" x14ac:dyDescent="0.15"/>
    <row r="7742" hidden="1" x14ac:dyDescent="0.15"/>
    <row r="7743" hidden="1" x14ac:dyDescent="0.15"/>
    <row r="7744" hidden="1" x14ac:dyDescent="0.15"/>
    <row r="7745" hidden="1" x14ac:dyDescent="0.15"/>
    <row r="7746" hidden="1" x14ac:dyDescent="0.15"/>
    <row r="7747" hidden="1" x14ac:dyDescent="0.15"/>
    <row r="7748" hidden="1" x14ac:dyDescent="0.15"/>
    <row r="7749" hidden="1" x14ac:dyDescent="0.15"/>
    <row r="7750" hidden="1" x14ac:dyDescent="0.15"/>
    <row r="7751" hidden="1" x14ac:dyDescent="0.15"/>
    <row r="7752" hidden="1" x14ac:dyDescent="0.15"/>
    <row r="7753" hidden="1" x14ac:dyDescent="0.15"/>
    <row r="7754" hidden="1" x14ac:dyDescent="0.15"/>
    <row r="7755" hidden="1" x14ac:dyDescent="0.15"/>
    <row r="7756" hidden="1" x14ac:dyDescent="0.15"/>
    <row r="7757" hidden="1" x14ac:dyDescent="0.15"/>
    <row r="7758" hidden="1" x14ac:dyDescent="0.15"/>
    <row r="7759" hidden="1" x14ac:dyDescent="0.15"/>
    <row r="7760" hidden="1" x14ac:dyDescent="0.15"/>
    <row r="7761" hidden="1" x14ac:dyDescent="0.15"/>
    <row r="7762" hidden="1" x14ac:dyDescent="0.15"/>
    <row r="7763" hidden="1" x14ac:dyDescent="0.15"/>
    <row r="7764" hidden="1" x14ac:dyDescent="0.15"/>
    <row r="7765" hidden="1" x14ac:dyDescent="0.15"/>
    <row r="7766" hidden="1" x14ac:dyDescent="0.15"/>
    <row r="7767" hidden="1" x14ac:dyDescent="0.15"/>
    <row r="7768" hidden="1" x14ac:dyDescent="0.15"/>
    <row r="7769" hidden="1" x14ac:dyDescent="0.15"/>
    <row r="7770" hidden="1" x14ac:dyDescent="0.15"/>
    <row r="7771" hidden="1" x14ac:dyDescent="0.15"/>
    <row r="7772" hidden="1" x14ac:dyDescent="0.15"/>
    <row r="7773" hidden="1" x14ac:dyDescent="0.15"/>
    <row r="7774" hidden="1" x14ac:dyDescent="0.15"/>
    <row r="7775" hidden="1" x14ac:dyDescent="0.15"/>
    <row r="7776" hidden="1" x14ac:dyDescent="0.15"/>
    <row r="7777" hidden="1" x14ac:dyDescent="0.15"/>
    <row r="7778" hidden="1" x14ac:dyDescent="0.15"/>
    <row r="7779" hidden="1" x14ac:dyDescent="0.15"/>
    <row r="7780" hidden="1" x14ac:dyDescent="0.15"/>
    <row r="7781" hidden="1" x14ac:dyDescent="0.15"/>
    <row r="7782" hidden="1" x14ac:dyDescent="0.15"/>
    <row r="7783" hidden="1" x14ac:dyDescent="0.15"/>
    <row r="7784" hidden="1" x14ac:dyDescent="0.15"/>
    <row r="7785" hidden="1" x14ac:dyDescent="0.15"/>
    <row r="7786" hidden="1" x14ac:dyDescent="0.15"/>
    <row r="7787" hidden="1" x14ac:dyDescent="0.15"/>
    <row r="7788" hidden="1" x14ac:dyDescent="0.15"/>
    <row r="7789" hidden="1" x14ac:dyDescent="0.15"/>
    <row r="7790" hidden="1" x14ac:dyDescent="0.15"/>
    <row r="7791" hidden="1" x14ac:dyDescent="0.15"/>
    <row r="7792" hidden="1" x14ac:dyDescent="0.15"/>
    <row r="7793" hidden="1" x14ac:dyDescent="0.15"/>
    <row r="7794" hidden="1" x14ac:dyDescent="0.15"/>
    <row r="7795" hidden="1" x14ac:dyDescent="0.15"/>
    <row r="7796" hidden="1" x14ac:dyDescent="0.15"/>
    <row r="7797" hidden="1" x14ac:dyDescent="0.15"/>
    <row r="7798" hidden="1" x14ac:dyDescent="0.15"/>
    <row r="7799" hidden="1" x14ac:dyDescent="0.15"/>
    <row r="7800" hidden="1" x14ac:dyDescent="0.15"/>
    <row r="7801" hidden="1" x14ac:dyDescent="0.15"/>
    <row r="7802" hidden="1" x14ac:dyDescent="0.15"/>
    <row r="7803" hidden="1" x14ac:dyDescent="0.15"/>
    <row r="7804" hidden="1" x14ac:dyDescent="0.15"/>
    <row r="7805" hidden="1" x14ac:dyDescent="0.15"/>
    <row r="7806" hidden="1" x14ac:dyDescent="0.15"/>
    <row r="7807" hidden="1" x14ac:dyDescent="0.15"/>
    <row r="7808" hidden="1" x14ac:dyDescent="0.15"/>
    <row r="7809" hidden="1" x14ac:dyDescent="0.15"/>
    <row r="7810" hidden="1" x14ac:dyDescent="0.15"/>
    <row r="7811" hidden="1" x14ac:dyDescent="0.15"/>
    <row r="7812" hidden="1" x14ac:dyDescent="0.15"/>
    <row r="7813" hidden="1" x14ac:dyDescent="0.15"/>
    <row r="7814" hidden="1" x14ac:dyDescent="0.15"/>
    <row r="7815" hidden="1" x14ac:dyDescent="0.15"/>
    <row r="7816" hidden="1" x14ac:dyDescent="0.15"/>
    <row r="7817" hidden="1" x14ac:dyDescent="0.15"/>
    <row r="7818" hidden="1" x14ac:dyDescent="0.15"/>
    <row r="7819" hidden="1" x14ac:dyDescent="0.15"/>
    <row r="7820" hidden="1" x14ac:dyDescent="0.15"/>
    <row r="7821" hidden="1" x14ac:dyDescent="0.15"/>
    <row r="7822" hidden="1" x14ac:dyDescent="0.15"/>
    <row r="7823" hidden="1" x14ac:dyDescent="0.15"/>
    <row r="7824" hidden="1" x14ac:dyDescent="0.15"/>
    <row r="7825" hidden="1" x14ac:dyDescent="0.15"/>
    <row r="7826" hidden="1" x14ac:dyDescent="0.15"/>
    <row r="7827" hidden="1" x14ac:dyDescent="0.15"/>
    <row r="7828" hidden="1" x14ac:dyDescent="0.15"/>
    <row r="7829" hidden="1" x14ac:dyDescent="0.15"/>
    <row r="7830" hidden="1" x14ac:dyDescent="0.15"/>
    <row r="7831" hidden="1" x14ac:dyDescent="0.15"/>
    <row r="7832" hidden="1" x14ac:dyDescent="0.15"/>
    <row r="7833" hidden="1" x14ac:dyDescent="0.15"/>
    <row r="7834" hidden="1" x14ac:dyDescent="0.15"/>
    <row r="7835" hidden="1" x14ac:dyDescent="0.15"/>
    <row r="7836" hidden="1" x14ac:dyDescent="0.15"/>
    <row r="7837" hidden="1" x14ac:dyDescent="0.15"/>
    <row r="7838" hidden="1" x14ac:dyDescent="0.15"/>
    <row r="7839" hidden="1" x14ac:dyDescent="0.15"/>
    <row r="7840" hidden="1" x14ac:dyDescent="0.15"/>
    <row r="7841" hidden="1" x14ac:dyDescent="0.15"/>
    <row r="7842" hidden="1" x14ac:dyDescent="0.15"/>
    <row r="7843" hidden="1" x14ac:dyDescent="0.15"/>
    <row r="7844" hidden="1" x14ac:dyDescent="0.15"/>
    <row r="7845" hidden="1" x14ac:dyDescent="0.15"/>
    <row r="7846" hidden="1" x14ac:dyDescent="0.15"/>
    <row r="7847" hidden="1" x14ac:dyDescent="0.15"/>
    <row r="7848" hidden="1" x14ac:dyDescent="0.15"/>
    <row r="7849" hidden="1" x14ac:dyDescent="0.15"/>
    <row r="7850" hidden="1" x14ac:dyDescent="0.15"/>
    <row r="7851" hidden="1" x14ac:dyDescent="0.15"/>
    <row r="7852" hidden="1" x14ac:dyDescent="0.15"/>
    <row r="7853" hidden="1" x14ac:dyDescent="0.15"/>
    <row r="7854" hidden="1" x14ac:dyDescent="0.15"/>
    <row r="7855" hidden="1" x14ac:dyDescent="0.15"/>
    <row r="7856" hidden="1" x14ac:dyDescent="0.15"/>
    <row r="7857" hidden="1" x14ac:dyDescent="0.15"/>
    <row r="7858" hidden="1" x14ac:dyDescent="0.15"/>
    <row r="7859" hidden="1" x14ac:dyDescent="0.15"/>
    <row r="7860" hidden="1" x14ac:dyDescent="0.15"/>
    <row r="7861" hidden="1" x14ac:dyDescent="0.15"/>
    <row r="7862" hidden="1" x14ac:dyDescent="0.15"/>
    <row r="7863" hidden="1" x14ac:dyDescent="0.15"/>
    <row r="7864" hidden="1" x14ac:dyDescent="0.15"/>
    <row r="7865" hidden="1" x14ac:dyDescent="0.15"/>
    <row r="7866" hidden="1" x14ac:dyDescent="0.15"/>
    <row r="7867" hidden="1" x14ac:dyDescent="0.15"/>
    <row r="7868" hidden="1" x14ac:dyDescent="0.15"/>
    <row r="7869" hidden="1" x14ac:dyDescent="0.15"/>
    <row r="7870" hidden="1" x14ac:dyDescent="0.15"/>
    <row r="7871" hidden="1" x14ac:dyDescent="0.15"/>
    <row r="7872" hidden="1" x14ac:dyDescent="0.15"/>
    <row r="7873" hidden="1" x14ac:dyDescent="0.15"/>
    <row r="7874" hidden="1" x14ac:dyDescent="0.15"/>
    <row r="7875" hidden="1" x14ac:dyDescent="0.15"/>
    <row r="7876" hidden="1" x14ac:dyDescent="0.15"/>
    <row r="7877" hidden="1" x14ac:dyDescent="0.15"/>
    <row r="7878" hidden="1" x14ac:dyDescent="0.15"/>
    <row r="7879" hidden="1" x14ac:dyDescent="0.15"/>
    <row r="7880" hidden="1" x14ac:dyDescent="0.15"/>
    <row r="7881" hidden="1" x14ac:dyDescent="0.15"/>
    <row r="7882" hidden="1" x14ac:dyDescent="0.15"/>
    <row r="7883" hidden="1" x14ac:dyDescent="0.15"/>
    <row r="7884" hidden="1" x14ac:dyDescent="0.15"/>
    <row r="7885" hidden="1" x14ac:dyDescent="0.15"/>
    <row r="7886" hidden="1" x14ac:dyDescent="0.15"/>
    <row r="7887" hidden="1" x14ac:dyDescent="0.15"/>
    <row r="7888" hidden="1" x14ac:dyDescent="0.15"/>
    <row r="7889" hidden="1" x14ac:dyDescent="0.15"/>
    <row r="7890" hidden="1" x14ac:dyDescent="0.15"/>
    <row r="7891" hidden="1" x14ac:dyDescent="0.15"/>
    <row r="7892" hidden="1" x14ac:dyDescent="0.15"/>
    <row r="7893" hidden="1" x14ac:dyDescent="0.15"/>
    <row r="7894" hidden="1" x14ac:dyDescent="0.15"/>
    <row r="7895" hidden="1" x14ac:dyDescent="0.15"/>
    <row r="7896" hidden="1" x14ac:dyDescent="0.15"/>
    <row r="7897" hidden="1" x14ac:dyDescent="0.15"/>
    <row r="7898" hidden="1" x14ac:dyDescent="0.15"/>
    <row r="7899" hidden="1" x14ac:dyDescent="0.15"/>
    <row r="7900" hidden="1" x14ac:dyDescent="0.15"/>
    <row r="7901" hidden="1" x14ac:dyDescent="0.15"/>
    <row r="7902" hidden="1" x14ac:dyDescent="0.15"/>
    <row r="7903" hidden="1" x14ac:dyDescent="0.15"/>
    <row r="7904" hidden="1" x14ac:dyDescent="0.15"/>
    <row r="7905" hidden="1" x14ac:dyDescent="0.15"/>
    <row r="7906" hidden="1" x14ac:dyDescent="0.15"/>
    <row r="7907" hidden="1" x14ac:dyDescent="0.15"/>
    <row r="7908" hidden="1" x14ac:dyDescent="0.15"/>
    <row r="7909" hidden="1" x14ac:dyDescent="0.15"/>
    <row r="7910" hidden="1" x14ac:dyDescent="0.15"/>
    <row r="7911" hidden="1" x14ac:dyDescent="0.15"/>
    <row r="7912" hidden="1" x14ac:dyDescent="0.15"/>
    <row r="7913" hidden="1" x14ac:dyDescent="0.15"/>
    <row r="7914" hidden="1" x14ac:dyDescent="0.15"/>
    <row r="7915" hidden="1" x14ac:dyDescent="0.15"/>
    <row r="7916" hidden="1" x14ac:dyDescent="0.15"/>
    <row r="7917" hidden="1" x14ac:dyDescent="0.15"/>
    <row r="7918" hidden="1" x14ac:dyDescent="0.15"/>
    <row r="7919" hidden="1" x14ac:dyDescent="0.15"/>
    <row r="7920" hidden="1" x14ac:dyDescent="0.15"/>
    <row r="7921" hidden="1" x14ac:dyDescent="0.15"/>
    <row r="7922" hidden="1" x14ac:dyDescent="0.15"/>
    <row r="7923" hidden="1" x14ac:dyDescent="0.15"/>
    <row r="7924" hidden="1" x14ac:dyDescent="0.15"/>
    <row r="7925" hidden="1" x14ac:dyDescent="0.15"/>
    <row r="7926" hidden="1" x14ac:dyDescent="0.15"/>
    <row r="7927" hidden="1" x14ac:dyDescent="0.15"/>
    <row r="7928" hidden="1" x14ac:dyDescent="0.15"/>
    <row r="7929" hidden="1" x14ac:dyDescent="0.15"/>
    <row r="7930" hidden="1" x14ac:dyDescent="0.15"/>
    <row r="7931" hidden="1" x14ac:dyDescent="0.15"/>
    <row r="7932" hidden="1" x14ac:dyDescent="0.15"/>
    <row r="7933" hidden="1" x14ac:dyDescent="0.15"/>
    <row r="7934" hidden="1" x14ac:dyDescent="0.15"/>
    <row r="7935" hidden="1" x14ac:dyDescent="0.15"/>
    <row r="7936" hidden="1" x14ac:dyDescent="0.15"/>
    <row r="7937" hidden="1" x14ac:dyDescent="0.15"/>
    <row r="7938" hidden="1" x14ac:dyDescent="0.15"/>
    <row r="7939" hidden="1" x14ac:dyDescent="0.15"/>
    <row r="7940" hidden="1" x14ac:dyDescent="0.15"/>
    <row r="7941" hidden="1" x14ac:dyDescent="0.15"/>
    <row r="7942" hidden="1" x14ac:dyDescent="0.15"/>
    <row r="7943" hidden="1" x14ac:dyDescent="0.15"/>
    <row r="7944" hidden="1" x14ac:dyDescent="0.15"/>
    <row r="7945" hidden="1" x14ac:dyDescent="0.15"/>
    <row r="7946" hidden="1" x14ac:dyDescent="0.15"/>
    <row r="7947" hidden="1" x14ac:dyDescent="0.15"/>
    <row r="7948" hidden="1" x14ac:dyDescent="0.15"/>
    <row r="7949" hidden="1" x14ac:dyDescent="0.15"/>
    <row r="7950" hidden="1" x14ac:dyDescent="0.15"/>
    <row r="7951" hidden="1" x14ac:dyDescent="0.15"/>
    <row r="7952" hidden="1" x14ac:dyDescent="0.15"/>
    <row r="7953" hidden="1" x14ac:dyDescent="0.15"/>
    <row r="7954" hidden="1" x14ac:dyDescent="0.15"/>
    <row r="7955" hidden="1" x14ac:dyDescent="0.15"/>
    <row r="7956" hidden="1" x14ac:dyDescent="0.15"/>
    <row r="7957" hidden="1" x14ac:dyDescent="0.15"/>
    <row r="7958" hidden="1" x14ac:dyDescent="0.15"/>
    <row r="7959" hidden="1" x14ac:dyDescent="0.15"/>
    <row r="7960" hidden="1" x14ac:dyDescent="0.15"/>
    <row r="7961" hidden="1" x14ac:dyDescent="0.15"/>
    <row r="7962" hidden="1" x14ac:dyDescent="0.15"/>
    <row r="7963" hidden="1" x14ac:dyDescent="0.15"/>
    <row r="7964" hidden="1" x14ac:dyDescent="0.15"/>
    <row r="7965" hidden="1" x14ac:dyDescent="0.15"/>
    <row r="7966" hidden="1" x14ac:dyDescent="0.15"/>
    <row r="7967" hidden="1" x14ac:dyDescent="0.15"/>
    <row r="7968" hidden="1" x14ac:dyDescent="0.15"/>
    <row r="7969" hidden="1" x14ac:dyDescent="0.15"/>
    <row r="7970" hidden="1" x14ac:dyDescent="0.15"/>
    <row r="7971" hidden="1" x14ac:dyDescent="0.15"/>
    <row r="7972" hidden="1" x14ac:dyDescent="0.15"/>
    <row r="7973" hidden="1" x14ac:dyDescent="0.15"/>
    <row r="7974" hidden="1" x14ac:dyDescent="0.15"/>
    <row r="7975" hidden="1" x14ac:dyDescent="0.15"/>
    <row r="7976" hidden="1" x14ac:dyDescent="0.15"/>
    <row r="7977" hidden="1" x14ac:dyDescent="0.15"/>
    <row r="7978" hidden="1" x14ac:dyDescent="0.15"/>
    <row r="7979" hidden="1" x14ac:dyDescent="0.15"/>
    <row r="7980" hidden="1" x14ac:dyDescent="0.15"/>
    <row r="7981" hidden="1" x14ac:dyDescent="0.15"/>
    <row r="7982" hidden="1" x14ac:dyDescent="0.15"/>
    <row r="7983" hidden="1" x14ac:dyDescent="0.15"/>
    <row r="7984" hidden="1" x14ac:dyDescent="0.15"/>
    <row r="7985" hidden="1" x14ac:dyDescent="0.15"/>
    <row r="7986" hidden="1" x14ac:dyDescent="0.15"/>
    <row r="7987" hidden="1" x14ac:dyDescent="0.15"/>
    <row r="7988" hidden="1" x14ac:dyDescent="0.15"/>
    <row r="7989" hidden="1" x14ac:dyDescent="0.15"/>
    <row r="7990" hidden="1" x14ac:dyDescent="0.15"/>
    <row r="7991" hidden="1" x14ac:dyDescent="0.15"/>
    <row r="7992" hidden="1" x14ac:dyDescent="0.15"/>
    <row r="7993" hidden="1" x14ac:dyDescent="0.15"/>
    <row r="7994" hidden="1" x14ac:dyDescent="0.15"/>
    <row r="7995" hidden="1" x14ac:dyDescent="0.15"/>
    <row r="7996" hidden="1" x14ac:dyDescent="0.15"/>
    <row r="7997" hidden="1" x14ac:dyDescent="0.15"/>
    <row r="7998" hidden="1" x14ac:dyDescent="0.15"/>
    <row r="7999" hidden="1" x14ac:dyDescent="0.15"/>
    <row r="8000" hidden="1" x14ac:dyDescent="0.15"/>
    <row r="8001" hidden="1" x14ac:dyDescent="0.15"/>
    <row r="8002" hidden="1" x14ac:dyDescent="0.15"/>
    <row r="8003" hidden="1" x14ac:dyDescent="0.15"/>
    <row r="8004" hidden="1" x14ac:dyDescent="0.15"/>
    <row r="8005" hidden="1" x14ac:dyDescent="0.15"/>
    <row r="8006" hidden="1" x14ac:dyDescent="0.15"/>
    <row r="8007" hidden="1" x14ac:dyDescent="0.15"/>
    <row r="8008" hidden="1" x14ac:dyDescent="0.15"/>
    <row r="8009" hidden="1" x14ac:dyDescent="0.15"/>
    <row r="8010" hidden="1" x14ac:dyDescent="0.15"/>
    <row r="8011" hidden="1" x14ac:dyDescent="0.15"/>
    <row r="8012" hidden="1" x14ac:dyDescent="0.15"/>
    <row r="8013" hidden="1" x14ac:dyDescent="0.15"/>
    <row r="8014" hidden="1" x14ac:dyDescent="0.15"/>
    <row r="8015" hidden="1" x14ac:dyDescent="0.15"/>
    <row r="8016" hidden="1" x14ac:dyDescent="0.15"/>
    <row r="8017" hidden="1" x14ac:dyDescent="0.15"/>
    <row r="8018" hidden="1" x14ac:dyDescent="0.15"/>
    <row r="8019" hidden="1" x14ac:dyDescent="0.15"/>
    <row r="8020" hidden="1" x14ac:dyDescent="0.15"/>
    <row r="8021" hidden="1" x14ac:dyDescent="0.15"/>
    <row r="8022" hidden="1" x14ac:dyDescent="0.15"/>
    <row r="8023" hidden="1" x14ac:dyDescent="0.15"/>
    <row r="8024" hidden="1" x14ac:dyDescent="0.15"/>
    <row r="8025" hidden="1" x14ac:dyDescent="0.15"/>
    <row r="8026" hidden="1" x14ac:dyDescent="0.15"/>
    <row r="8027" hidden="1" x14ac:dyDescent="0.15"/>
    <row r="8028" hidden="1" x14ac:dyDescent="0.15"/>
    <row r="8029" hidden="1" x14ac:dyDescent="0.15"/>
    <row r="8030" hidden="1" x14ac:dyDescent="0.15"/>
    <row r="8031" hidden="1" x14ac:dyDescent="0.15"/>
    <row r="8032" hidden="1" x14ac:dyDescent="0.15"/>
    <row r="8033" hidden="1" x14ac:dyDescent="0.15"/>
    <row r="8034" hidden="1" x14ac:dyDescent="0.15"/>
    <row r="8035" hidden="1" x14ac:dyDescent="0.15"/>
    <row r="8036" hidden="1" x14ac:dyDescent="0.15"/>
    <row r="8037" hidden="1" x14ac:dyDescent="0.15"/>
    <row r="8038" hidden="1" x14ac:dyDescent="0.15"/>
    <row r="8039" hidden="1" x14ac:dyDescent="0.15"/>
    <row r="8040" hidden="1" x14ac:dyDescent="0.15"/>
    <row r="8041" hidden="1" x14ac:dyDescent="0.15"/>
    <row r="8042" hidden="1" x14ac:dyDescent="0.15"/>
    <row r="8043" hidden="1" x14ac:dyDescent="0.15"/>
    <row r="8044" hidden="1" x14ac:dyDescent="0.15"/>
    <row r="8045" hidden="1" x14ac:dyDescent="0.15"/>
    <row r="8046" hidden="1" x14ac:dyDescent="0.15"/>
    <row r="8047" hidden="1" x14ac:dyDescent="0.15"/>
    <row r="8048" hidden="1" x14ac:dyDescent="0.15"/>
    <row r="8049" hidden="1" x14ac:dyDescent="0.15"/>
    <row r="8050" hidden="1" x14ac:dyDescent="0.15"/>
    <row r="8051" hidden="1" x14ac:dyDescent="0.15"/>
    <row r="8052" hidden="1" x14ac:dyDescent="0.15"/>
    <row r="8053" hidden="1" x14ac:dyDescent="0.15"/>
    <row r="8054" hidden="1" x14ac:dyDescent="0.15"/>
    <row r="8055" hidden="1" x14ac:dyDescent="0.15"/>
    <row r="8056" hidden="1" x14ac:dyDescent="0.15"/>
    <row r="8057" hidden="1" x14ac:dyDescent="0.15"/>
    <row r="8058" hidden="1" x14ac:dyDescent="0.15"/>
    <row r="8059" hidden="1" x14ac:dyDescent="0.15"/>
    <row r="8060" hidden="1" x14ac:dyDescent="0.15"/>
    <row r="8061" hidden="1" x14ac:dyDescent="0.15"/>
    <row r="8062" hidden="1" x14ac:dyDescent="0.15"/>
    <row r="8063" hidden="1" x14ac:dyDescent="0.15"/>
    <row r="8064" hidden="1" x14ac:dyDescent="0.15"/>
    <row r="8065" hidden="1" x14ac:dyDescent="0.15"/>
    <row r="8066" hidden="1" x14ac:dyDescent="0.15"/>
    <row r="8067" hidden="1" x14ac:dyDescent="0.15"/>
    <row r="8068" hidden="1" x14ac:dyDescent="0.15"/>
    <row r="8069" hidden="1" x14ac:dyDescent="0.15"/>
    <row r="8070" hidden="1" x14ac:dyDescent="0.15"/>
    <row r="8071" hidden="1" x14ac:dyDescent="0.15"/>
    <row r="8072" hidden="1" x14ac:dyDescent="0.15"/>
    <row r="8073" hidden="1" x14ac:dyDescent="0.15"/>
    <row r="8074" hidden="1" x14ac:dyDescent="0.15"/>
    <row r="8075" hidden="1" x14ac:dyDescent="0.15"/>
    <row r="8076" hidden="1" x14ac:dyDescent="0.15"/>
    <row r="8077" hidden="1" x14ac:dyDescent="0.15"/>
    <row r="8078" hidden="1" x14ac:dyDescent="0.15"/>
    <row r="8079" hidden="1" x14ac:dyDescent="0.15"/>
    <row r="8080" hidden="1" x14ac:dyDescent="0.15"/>
    <row r="8081" hidden="1" x14ac:dyDescent="0.15"/>
    <row r="8082" hidden="1" x14ac:dyDescent="0.15"/>
    <row r="8083" hidden="1" x14ac:dyDescent="0.15"/>
    <row r="8084" hidden="1" x14ac:dyDescent="0.15"/>
    <row r="8085" hidden="1" x14ac:dyDescent="0.15"/>
    <row r="8086" hidden="1" x14ac:dyDescent="0.15"/>
    <row r="8087" hidden="1" x14ac:dyDescent="0.15"/>
    <row r="8088" hidden="1" x14ac:dyDescent="0.15"/>
    <row r="8089" hidden="1" x14ac:dyDescent="0.15"/>
    <row r="8090" hidden="1" x14ac:dyDescent="0.15"/>
    <row r="8091" hidden="1" x14ac:dyDescent="0.15"/>
    <row r="8092" hidden="1" x14ac:dyDescent="0.15"/>
    <row r="8093" hidden="1" x14ac:dyDescent="0.15"/>
    <row r="8094" hidden="1" x14ac:dyDescent="0.15"/>
    <row r="8095" hidden="1" x14ac:dyDescent="0.15"/>
    <row r="8096" hidden="1" x14ac:dyDescent="0.15"/>
    <row r="8097" hidden="1" x14ac:dyDescent="0.15"/>
    <row r="8098" hidden="1" x14ac:dyDescent="0.15"/>
    <row r="8099" hidden="1" x14ac:dyDescent="0.15"/>
    <row r="8100" hidden="1" x14ac:dyDescent="0.15"/>
    <row r="8101" hidden="1" x14ac:dyDescent="0.15"/>
    <row r="8102" hidden="1" x14ac:dyDescent="0.15"/>
    <row r="8103" hidden="1" x14ac:dyDescent="0.15"/>
    <row r="8104" hidden="1" x14ac:dyDescent="0.15"/>
    <row r="8105" hidden="1" x14ac:dyDescent="0.15"/>
    <row r="8106" hidden="1" x14ac:dyDescent="0.15"/>
    <row r="8107" hidden="1" x14ac:dyDescent="0.15"/>
    <row r="8108" hidden="1" x14ac:dyDescent="0.15"/>
    <row r="8109" hidden="1" x14ac:dyDescent="0.15"/>
    <row r="8110" hidden="1" x14ac:dyDescent="0.15"/>
    <row r="8111" hidden="1" x14ac:dyDescent="0.15"/>
    <row r="8112" hidden="1" x14ac:dyDescent="0.15"/>
    <row r="8113" hidden="1" x14ac:dyDescent="0.15"/>
    <row r="8114" hidden="1" x14ac:dyDescent="0.15"/>
    <row r="8115" hidden="1" x14ac:dyDescent="0.15"/>
    <row r="8116" hidden="1" x14ac:dyDescent="0.15"/>
    <row r="8117" hidden="1" x14ac:dyDescent="0.15"/>
    <row r="8118" hidden="1" x14ac:dyDescent="0.15"/>
    <row r="8119" hidden="1" x14ac:dyDescent="0.15"/>
    <row r="8120" hidden="1" x14ac:dyDescent="0.15"/>
    <row r="8121" hidden="1" x14ac:dyDescent="0.15"/>
    <row r="8122" hidden="1" x14ac:dyDescent="0.15"/>
    <row r="8123" hidden="1" x14ac:dyDescent="0.15"/>
    <row r="8124" hidden="1" x14ac:dyDescent="0.15"/>
    <row r="8125" hidden="1" x14ac:dyDescent="0.15"/>
    <row r="8126" hidden="1" x14ac:dyDescent="0.15"/>
    <row r="8127" hidden="1" x14ac:dyDescent="0.15"/>
    <row r="8128" hidden="1" x14ac:dyDescent="0.15"/>
    <row r="8129" hidden="1" x14ac:dyDescent="0.15"/>
    <row r="8130" hidden="1" x14ac:dyDescent="0.15"/>
    <row r="8131" hidden="1" x14ac:dyDescent="0.15"/>
    <row r="8132" hidden="1" x14ac:dyDescent="0.15"/>
    <row r="8133" hidden="1" x14ac:dyDescent="0.15"/>
    <row r="8134" hidden="1" x14ac:dyDescent="0.15"/>
    <row r="8135" hidden="1" x14ac:dyDescent="0.15"/>
    <row r="8136" hidden="1" x14ac:dyDescent="0.15"/>
    <row r="8137" hidden="1" x14ac:dyDescent="0.15"/>
    <row r="8138" hidden="1" x14ac:dyDescent="0.15"/>
    <row r="8139" hidden="1" x14ac:dyDescent="0.15"/>
    <row r="8140" hidden="1" x14ac:dyDescent="0.15"/>
    <row r="8141" hidden="1" x14ac:dyDescent="0.15"/>
    <row r="8142" hidden="1" x14ac:dyDescent="0.15"/>
    <row r="8143" hidden="1" x14ac:dyDescent="0.15"/>
    <row r="8144" hidden="1" x14ac:dyDescent="0.15"/>
    <row r="8145" hidden="1" x14ac:dyDescent="0.15"/>
    <row r="8146" hidden="1" x14ac:dyDescent="0.15"/>
    <row r="8147" hidden="1" x14ac:dyDescent="0.15"/>
    <row r="8148" hidden="1" x14ac:dyDescent="0.15"/>
    <row r="8149" hidden="1" x14ac:dyDescent="0.15"/>
    <row r="8150" hidden="1" x14ac:dyDescent="0.15"/>
    <row r="8151" hidden="1" x14ac:dyDescent="0.15"/>
    <row r="8152" hidden="1" x14ac:dyDescent="0.15"/>
    <row r="8153" hidden="1" x14ac:dyDescent="0.15"/>
    <row r="8154" hidden="1" x14ac:dyDescent="0.15"/>
    <row r="8155" hidden="1" x14ac:dyDescent="0.15"/>
    <row r="8156" hidden="1" x14ac:dyDescent="0.15"/>
    <row r="8157" hidden="1" x14ac:dyDescent="0.15"/>
    <row r="8158" hidden="1" x14ac:dyDescent="0.15"/>
    <row r="8159" hidden="1" x14ac:dyDescent="0.15"/>
    <row r="8160" hidden="1" x14ac:dyDescent="0.15"/>
    <row r="8161" hidden="1" x14ac:dyDescent="0.15"/>
    <row r="8162" hidden="1" x14ac:dyDescent="0.15"/>
    <row r="8163" hidden="1" x14ac:dyDescent="0.15"/>
    <row r="8164" hidden="1" x14ac:dyDescent="0.15"/>
    <row r="8165" hidden="1" x14ac:dyDescent="0.15"/>
    <row r="8166" hidden="1" x14ac:dyDescent="0.15"/>
    <row r="8167" hidden="1" x14ac:dyDescent="0.15"/>
    <row r="8168" hidden="1" x14ac:dyDescent="0.15"/>
    <row r="8169" hidden="1" x14ac:dyDescent="0.15"/>
    <row r="8170" hidden="1" x14ac:dyDescent="0.15"/>
    <row r="8171" hidden="1" x14ac:dyDescent="0.15"/>
    <row r="8172" hidden="1" x14ac:dyDescent="0.15"/>
    <row r="8173" hidden="1" x14ac:dyDescent="0.15"/>
    <row r="8174" hidden="1" x14ac:dyDescent="0.15"/>
    <row r="8175" hidden="1" x14ac:dyDescent="0.15"/>
    <row r="8176" hidden="1" x14ac:dyDescent="0.15"/>
    <row r="8177" hidden="1" x14ac:dyDescent="0.15"/>
    <row r="8178" hidden="1" x14ac:dyDescent="0.15"/>
    <row r="8179" hidden="1" x14ac:dyDescent="0.15"/>
    <row r="8180" hidden="1" x14ac:dyDescent="0.15"/>
    <row r="8181" hidden="1" x14ac:dyDescent="0.15"/>
    <row r="8182" hidden="1" x14ac:dyDescent="0.15"/>
    <row r="8183" hidden="1" x14ac:dyDescent="0.15"/>
    <row r="8184" hidden="1" x14ac:dyDescent="0.15"/>
    <row r="8185" hidden="1" x14ac:dyDescent="0.15"/>
    <row r="8186" hidden="1" x14ac:dyDescent="0.15"/>
    <row r="8187" hidden="1" x14ac:dyDescent="0.15"/>
    <row r="8188" hidden="1" x14ac:dyDescent="0.15"/>
    <row r="8189" hidden="1" x14ac:dyDescent="0.15"/>
    <row r="8190" hidden="1" x14ac:dyDescent="0.15"/>
    <row r="8191" hidden="1" x14ac:dyDescent="0.15"/>
    <row r="8192" hidden="1" x14ac:dyDescent="0.15"/>
    <row r="8193" hidden="1" x14ac:dyDescent="0.15"/>
    <row r="8194" hidden="1" x14ac:dyDescent="0.15"/>
    <row r="8195" hidden="1" x14ac:dyDescent="0.15"/>
    <row r="8196" hidden="1" x14ac:dyDescent="0.15"/>
    <row r="8197" hidden="1" x14ac:dyDescent="0.15"/>
    <row r="8198" hidden="1" x14ac:dyDescent="0.15"/>
    <row r="8199" hidden="1" x14ac:dyDescent="0.15"/>
    <row r="8200" hidden="1" x14ac:dyDescent="0.15"/>
    <row r="8201" hidden="1" x14ac:dyDescent="0.15"/>
    <row r="8202" hidden="1" x14ac:dyDescent="0.15"/>
    <row r="8203" hidden="1" x14ac:dyDescent="0.15"/>
    <row r="8204" hidden="1" x14ac:dyDescent="0.15"/>
    <row r="8205" hidden="1" x14ac:dyDescent="0.15"/>
    <row r="8206" hidden="1" x14ac:dyDescent="0.15"/>
    <row r="8207" hidden="1" x14ac:dyDescent="0.15"/>
    <row r="8208" hidden="1" x14ac:dyDescent="0.15"/>
    <row r="8209" hidden="1" x14ac:dyDescent="0.15"/>
    <row r="8210" hidden="1" x14ac:dyDescent="0.15"/>
    <row r="8211" hidden="1" x14ac:dyDescent="0.15"/>
    <row r="8212" hidden="1" x14ac:dyDescent="0.15"/>
    <row r="8213" hidden="1" x14ac:dyDescent="0.15"/>
    <row r="8214" hidden="1" x14ac:dyDescent="0.15"/>
    <row r="8215" hidden="1" x14ac:dyDescent="0.15"/>
    <row r="8216" hidden="1" x14ac:dyDescent="0.15"/>
    <row r="8217" hidden="1" x14ac:dyDescent="0.15"/>
    <row r="8218" hidden="1" x14ac:dyDescent="0.15"/>
    <row r="8219" hidden="1" x14ac:dyDescent="0.15"/>
    <row r="8220" hidden="1" x14ac:dyDescent="0.15"/>
    <row r="8221" hidden="1" x14ac:dyDescent="0.15"/>
    <row r="8222" hidden="1" x14ac:dyDescent="0.15"/>
    <row r="8223" hidden="1" x14ac:dyDescent="0.15"/>
    <row r="8224" hidden="1" x14ac:dyDescent="0.15"/>
    <row r="8225" hidden="1" x14ac:dyDescent="0.15"/>
    <row r="8226" hidden="1" x14ac:dyDescent="0.15"/>
    <row r="8227" hidden="1" x14ac:dyDescent="0.15"/>
    <row r="8228" hidden="1" x14ac:dyDescent="0.15"/>
    <row r="8229" hidden="1" x14ac:dyDescent="0.15"/>
    <row r="8230" hidden="1" x14ac:dyDescent="0.15"/>
    <row r="8231" hidden="1" x14ac:dyDescent="0.15"/>
    <row r="8232" hidden="1" x14ac:dyDescent="0.15"/>
    <row r="8233" hidden="1" x14ac:dyDescent="0.15"/>
    <row r="8234" hidden="1" x14ac:dyDescent="0.15"/>
    <row r="8235" hidden="1" x14ac:dyDescent="0.15"/>
    <row r="8236" hidden="1" x14ac:dyDescent="0.15"/>
    <row r="8237" hidden="1" x14ac:dyDescent="0.15"/>
    <row r="8238" hidden="1" x14ac:dyDescent="0.15"/>
    <row r="8239" hidden="1" x14ac:dyDescent="0.15"/>
    <row r="8240" hidden="1" x14ac:dyDescent="0.15"/>
    <row r="8241" hidden="1" x14ac:dyDescent="0.15"/>
    <row r="8242" hidden="1" x14ac:dyDescent="0.15"/>
    <row r="8243" hidden="1" x14ac:dyDescent="0.15"/>
    <row r="8244" hidden="1" x14ac:dyDescent="0.15"/>
    <row r="8245" hidden="1" x14ac:dyDescent="0.15"/>
    <row r="8246" hidden="1" x14ac:dyDescent="0.15"/>
    <row r="8247" hidden="1" x14ac:dyDescent="0.15"/>
    <row r="8248" hidden="1" x14ac:dyDescent="0.15"/>
    <row r="8249" hidden="1" x14ac:dyDescent="0.15"/>
    <row r="8250" hidden="1" x14ac:dyDescent="0.15"/>
    <row r="8251" hidden="1" x14ac:dyDescent="0.15"/>
    <row r="8252" hidden="1" x14ac:dyDescent="0.15"/>
    <row r="8253" hidden="1" x14ac:dyDescent="0.15"/>
    <row r="8254" hidden="1" x14ac:dyDescent="0.15"/>
    <row r="8255" hidden="1" x14ac:dyDescent="0.15"/>
    <row r="8256" hidden="1" x14ac:dyDescent="0.15"/>
    <row r="8257" hidden="1" x14ac:dyDescent="0.15"/>
    <row r="8258" hidden="1" x14ac:dyDescent="0.15"/>
    <row r="8259" hidden="1" x14ac:dyDescent="0.15"/>
    <row r="8260" hidden="1" x14ac:dyDescent="0.15"/>
    <row r="8261" hidden="1" x14ac:dyDescent="0.15"/>
    <row r="8262" hidden="1" x14ac:dyDescent="0.15"/>
    <row r="8263" hidden="1" x14ac:dyDescent="0.15"/>
    <row r="8264" hidden="1" x14ac:dyDescent="0.15"/>
    <row r="8265" hidden="1" x14ac:dyDescent="0.15"/>
    <row r="8266" hidden="1" x14ac:dyDescent="0.15"/>
    <row r="8267" hidden="1" x14ac:dyDescent="0.15"/>
    <row r="8268" hidden="1" x14ac:dyDescent="0.15"/>
    <row r="8269" hidden="1" x14ac:dyDescent="0.15"/>
    <row r="8270" hidden="1" x14ac:dyDescent="0.15"/>
    <row r="8271" hidden="1" x14ac:dyDescent="0.15"/>
    <row r="8272" hidden="1" x14ac:dyDescent="0.15"/>
    <row r="8273" hidden="1" x14ac:dyDescent="0.15"/>
    <row r="8274" hidden="1" x14ac:dyDescent="0.15"/>
    <row r="8275" hidden="1" x14ac:dyDescent="0.15"/>
    <row r="8276" hidden="1" x14ac:dyDescent="0.15"/>
    <row r="8277" hidden="1" x14ac:dyDescent="0.15"/>
    <row r="8278" hidden="1" x14ac:dyDescent="0.15"/>
    <row r="8279" hidden="1" x14ac:dyDescent="0.15"/>
    <row r="8280" hidden="1" x14ac:dyDescent="0.15"/>
    <row r="8281" hidden="1" x14ac:dyDescent="0.15"/>
    <row r="8282" hidden="1" x14ac:dyDescent="0.15"/>
    <row r="8283" hidden="1" x14ac:dyDescent="0.15"/>
    <row r="8284" hidden="1" x14ac:dyDescent="0.15"/>
    <row r="8285" hidden="1" x14ac:dyDescent="0.15"/>
    <row r="8286" hidden="1" x14ac:dyDescent="0.15"/>
    <row r="8287" hidden="1" x14ac:dyDescent="0.15"/>
    <row r="8288" hidden="1" x14ac:dyDescent="0.15"/>
    <row r="8289" hidden="1" x14ac:dyDescent="0.15"/>
    <row r="8290" hidden="1" x14ac:dyDescent="0.15"/>
    <row r="8291" hidden="1" x14ac:dyDescent="0.15"/>
    <row r="8292" hidden="1" x14ac:dyDescent="0.15"/>
    <row r="8293" hidden="1" x14ac:dyDescent="0.15"/>
    <row r="8294" hidden="1" x14ac:dyDescent="0.15"/>
    <row r="8295" hidden="1" x14ac:dyDescent="0.15"/>
    <row r="8296" hidden="1" x14ac:dyDescent="0.15"/>
    <row r="8297" hidden="1" x14ac:dyDescent="0.15"/>
    <row r="8298" hidden="1" x14ac:dyDescent="0.15"/>
    <row r="8299" hidden="1" x14ac:dyDescent="0.15"/>
    <row r="8300" hidden="1" x14ac:dyDescent="0.15"/>
    <row r="8301" hidden="1" x14ac:dyDescent="0.15"/>
    <row r="8302" hidden="1" x14ac:dyDescent="0.15"/>
    <row r="8303" hidden="1" x14ac:dyDescent="0.15"/>
    <row r="8304" hidden="1" x14ac:dyDescent="0.15"/>
    <row r="8305" hidden="1" x14ac:dyDescent="0.15"/>
    <row r="8306" hidden="1" x14ac:dyDescent="0.15"/>
    <row r="8307" hidden="1" x14ac:dyDescent="0.15"/>
    <row r="8308" hidden="1" x14ac:dyDescent="0.15"/>
    <row r="8309" hidden="1" x14ac:dyDescent="0.15"/>
    <row r="8310" hidden="1" x14ac:dyDescent="0.15"/>
    <row r="8311" hidden="1" x14ac:dyDescent="0.15"/>
    <row r="8312" hidden="1" x14ac:dyDescent="0.15"/>
    <row r="8313" hidden="1" x14ac:dyDescent="0.15"/>
    <row r="8314" hidden="1" x14ac:dyDescent="0.15"/>
    <row r="8315" hidden="1" x14ac:dyDescent="0.15"/>
    <row r="8316" hidden="1" x14ac:dyDescent="0.15"/>
    <row r="8317" hidden="1" x14ac:dyDescent="0.15"/>
    <row r="8318" hidden="1" x14ac:dyDescent="0.15"/>
    <row r="8319" hidden="1" x14ac:dyDescent="0.15"/>
    <row r="8320" hidden="1" x14ac:dyDescent="0.15"/>
    <row r="8321" hidden="1" x14ac:dyDescent="0.15"/>
    <row r="8322" hidden="1" x14ac:dyDescent="0.15"/>
    <row r="8323" hidden="1" x14ac:dyDescent="0.15"/>
    <row r="8324" hidden="1" x14ac:dyDescent="0.15"/>
    <row r="8325" hidden="1" x14ac:dyDescent="0.15"/>
    <row r="8326" hidden="1" x14ac:dyDescent="0.15"/>
    <row r="8327" hidden="1" x14ac:dyDescent="0.15"/>
    <row r="8328" hidden="1" x14ac:dyDescent="0.15"/>
    <row r="8329" hidden="1" x14ac:dyDescent="0.15"/>
    <row r="8330" hidden="1" x14ac:dyDescent="0.15"/>
    <row r="8331" hidden="1" x14ac:dyDescent="0.15"/>
    <row r="8332" hidden="1" x14ac:dyDescent="0.15"/>
    <row r="8333" hidden="1" x14ac:dyDescent="0.15"/>
    <row r="8334" hidden="1" x14ac:dyDescent="0.15"/>
    <row r="8335" hidden="1" x14ac:dyDescent="0.15"/>
    <row r="8336" hidden="1" x14ac:dyDescent="0.15"/>
    <row r="8337" hidden="1" x14ac:dyDescent="0.15"/>
    <row r="8338" hidden="1" x14ac:dyDescent="0.15"/>
    <row r="8339" hidden="1" x14ac:dyDescent="0.15"/>
    <row r="8340" hidden="1" x14ac:dyDescent="0.15"/>
    <row r="8341" hidden="1" x14ac:dyDescent="0.15"/>
    <row r="8342" hidden="1" x14ac:dyDescent="0.15"/>
    <row r="8343" hidden="1" x14ac:dyDescent="0.15"/>
    <row r="8344" hidden="1" x14ac:dyDescent="0.15"/>
    <row r="8345" hidden="1" x14ac:dyDescent="0.15"/>
    <row r="8346" hidden="1" x14ac:dyDescent="0.15"/>
    <row r="8347" hidden="1" x14ac:dyDescent="0.15"/>
    <row r="8348" hidden="1" x14ac:dyDescent="0.15"/>
    <row r="8349" hidden="1" x14ac:dyDescent="0.15"/>
    <row r="8350" hidden="1" x14ac:dyDescent="0.15"/>
    <row r="8351" hidden="1" x14ac:dyDescent="0.15"/>
    <row r="8352" hidden="1" x14ac:dyDescent="0.15"/>
    <row r="8353" hidden="1" x14ac:dyDescent="0.15"/>
    <row r="8354" hidden="1" x14ac:dyDescent="0.15"/>
    <row r="8355" hidden="1" x14ac:dyDescent="0.15"/>
    <row r="8356" hidden="1" x14ac:dyDescent="0.15"/>
    <row r="8357" hidden="1" x14ac:dyDescent="0.15"/>
    <row r="8358" hidden="1" x14ac:dyDescent="0.15"/>
    <row r="8359" hidden="1" x14ac:dyDescent="0.15"/>
    <row r="8360" hidden="1" x14ac:dyDescent="0.15"/>
    <row r="8361" hidden="1" x14ac:dyDescent="0.15"/>
    <row r="8362" hidden="1" x14ac:dyDescent="0.15"/>
    <row r="8363" hidden="1" x14ac:dyDescent="0.15"/>
    <row r="8364" hidden="1" x14ac:dyDescent="0.15"/>
    <row r="8365" hidden="1" x14ac:dyDescent="0.15"/>
    <row r="8366" hidden="1" x14ac:dyDescent="0.15"/>
    <row r="8367" hidden="1" x14ac:dyDescent="0.15"/>
    <row r="8368" hidden="1" x14ac:dyDescent="0.15"/>
    <row r="8369" hidden="1" x14ac:dyDescent="0.15"/>
    <row r="8370" hidden="1" x14ac:dyDescent="0.15"/>
    <row r="8371" hidden="1" x14ac:dyDescent="0.15"/>
    <row r="8372" hidden="1" x14ac:dyDescent="0.15"/>
    <row r="8373" hidden="1" x14ac:dyDescent="0.15"/>
    <row r="8374" hidden="1" x14ac:dyDescent="0.15"/>
    <row r="8375" hidden="1" x14ac:dyDescent="0.15"/>
    <row r="8376" hidden="1" x14ac:dyDescent="0.15"/>
    <row r="8377" hidden="1" x14ac:dyDescent="0.15"/>
    <row r="8378" hidden="1" x14ac:dyDescent="0.15"/>
    <row r="8379" hidden="1" x14ac:dyDescent="0.15"/>
    <row r="8380" hidden="1" x14ac:dyDescent="0.15"/>
    <row r="8381" hidden="1" x14ac:dyDescent="0.15"/>
    <row r="8382" hidden="1" x14ac:dyDescent="0.15"/>
    <row r="8383" hidden="1" x14ac:dyDescent="0.15"/>
    <row r="8384" hidden="1" x14ac:dyDescent="0.15"/>
    <row r="8385" hidden="1" x14ac:dyDescent="0.15"/>
    <row r="8386" hidden="1" x14ac:dyDescent="0.15"/>
    <row r="8387" hidden="1" x14ac:dyDescent="0.15"/>
    <row r="8388" hidden="1" x14ac:dyDescent="0.15"/>
    <row r="8389" hidden="1" x14ac:dyDescent="0.15"/>
    <row r="8390" hidden="1" x14ac:dyDescent="0.15"/>
    <row r="8391" hidden="1" x14ac:dyDescent="0.15"/>
    <row r="8392" hidden="1" x14ac:dyDescent="0.15"/>
    <row r="8393" hidden="1" x14ac:dyDescent="0.15"/>
    <row r="8394" hidden="1" x14ac:dyDescent="0.15"/>
    <row r="8395" hidden="1" x14ac:dyDescent="0.15"/>
    <row r="8396" hidden="1" x14ac:dyDescent="0.15"/>
    <row r="8397" hidden="1" x14ac:dyDescent="0.15"/>
    <row r="8398" hidden="1" x14ac:dyDescent="0.15"/>
    <row r="8399" hidden="1" x14ac:dyDescent="0.15"/>
    <row r="8400" hidden="1" x14ac:dyDescent="0.15"/>
    <row r="8401" hidden="1" x14ac:dyDescent="0.15"/>
    <row r="8402" hidden="1" x14ac:dyDescent="0.15"/>
    <row r="8403" hidden="1" x14ac:dyDescent="0.15"/>
    <row r="8404" hidden="1" x14ac:dyDescent="0.15"/>
    <row r="8405" hidden="1" x14ac:dyDescent="0.15"/>
    <row r="8406" hidden="1" x14ac:dyDescent="0.15"/>
    <row r="8407" hidden="1" x14ac:dyDescent="0.15"/>
    <row r="8408" hidden="1" x14ac:dyDescent="0.15"/>
    <row r="8409" hidden="1" x14ac:dyDescent="0.15"/>
    <row r="8410" hidden="1" x14ac:dyDescent="0.15"/>
    <row r="8411" hidden="1" x14ac:dyDescent="0.15"/>
    <row r="8412" hidden="1" x14ac:dyDescent="0.15"/>
    <row r="8413" hidden="1" x14ac:dyDescent="0.15"/>
    <row r="8414" hidden="1" x14ac:dyDescent="0.15"/>
    <row r="8415" hidden="1" x14ac:dyDescent="0.15"/>
    <row r="8416" hidden="1" x14ac:dyDescent="0.15"/>
    <row r="8417" hidden="1" x14ac:dyDescent="0.15"/>
    <row r="8418" hidden="1" x14ac:dyDescent="0.15"/>
    <row r="8419" hidden="1" x14ac:dyDescent="0.15"/>
    <row r="8420" hidden="1" x14ac:dyDescent="0.15"/>
    <row r="8421" hidden="1" x14ac:dyDescent="0.15"/>
    <row r="8422" hidden="1" x14ac:dyDescent="0.15"/>
    <row r="8423" hidden="1" x14ac:dyDescent="0.15"/>
    <row r="8424" hidden="1" x14ac:dyDescent="0.15"/>
    <row r="8425" hidden="1" x14ac:dyDescent="0.15"/>
    <row r="8426" hidden="1" x14ac:dyDescent="0.15"/>
    <row r="8427" hidden="1" x14ac:dyDescent="0.15"/>
    <row r="8428" hidden="1" x14ac:dyDescent="0.15"/>
    <row r="8429" hidden="1" x14ac:dyDescent="0.15"/>
    <row r="8430" hidden="1" x14ac:dyDescent="0.15"/>
    <row r="8431" hidden="1" x14ac:dyDescent="0.15"/>
    <row r="8432" hidden="1" x14ac:dyDescent="0.15"/>
    <row r="8433" hidden="1" x14ac:dyDescent="0.15"/>
    <row r="8434" hidden="1" x14ac:dyDescent="0.15"/>
    <row r="8435" hidden="1" x14ac:dyDescent="0.15"/>
    <row r="8436" hidden="1" x14ac:dyDescent="0.15"/>
    <row r="8437" hidden="1" x14ac:dyDescent="0.15"/>
    <row r="8438" hidden="1" x14ac:dyDescent="0.15"/>
    <row r="8439" hidden="1" x14ac:dyDescent="0.15"/>
    <row r="8440" hidden="1" x14ac:dyDescent="0.15"/>
    <row r="8441" hidden="1" x14ac:dyDescent="0.15"/>
    <row r="8442" hidden="1" x14ac:dyDescent="0.15"/>
    <row r="8443" hidden="1" x14ac:dyDescent="0.15"/>
    <row r="8444" hidden="1" x14ac:dyDescent="0.15"/>
    <row r="8445" hidden="1" x14ac:dyDescent="0.15"/>
    <row r="8446" hidden="1" x14ac:dyDescent="0.15"/>
    <row r="8447" hidden="1" x14ac:dyDescent="0.15"/>
    <row r="8448" hidden="1" x14ac:dyDescent="0.15"/>
    <row r="8449" hidden="1" x14ac:dyDescent="0.15"/>
    <row r="8450" hidden="1" x14ac:dyDescent="0.15"/>
    <row r="8451" hidden="1" x14ac:dyDescent="0.15"/>
    <row r="8452" hidden="1" x14ac:dyDescent="0.15"/>
    <row r="8453" hidden="1" x14ac:dyDescent="0.15"/>
    <row r="8454" hidden="1" x14ac:dyDescent="0.15"/>
    <row r="8455" hidden="1" x14ac:dyDescent="0.15"/>
    <row r="8456" hidden="1" x14ac:dyDescent="0.15"/>
    <row r="8457" hidden="1" x14ac:dyDescent="0.15"/>
    <row r="8458" hidden="1" x14ac:dyDescent="0.15"/>
    <row r="8459" hidden="1" x14ac:dyDescent="0.15"/>
    <row r="8460" hidden="1" x14ac:dyDescent="0.15"/>
    <row r="8461" hidden="1" x14ac:dyDescent="0.15"/>
    <row r="8462" hidden="1" x14ac:dyDescent="0.15"/>
    <row r="8463" hidden="1" x14ac:dyDescent="0.15"/>
    <row r="8464" hidden="1" x14ac:dyDescent="0.15"/>
    <row r="8465" hidden="1" x14ac:dyDescent="0.15"/>
    <row r="8466" hidden="1" x14ac:dyDescent="0.15"/>
    <row r="8467" hidden="1" x14ac:dyDescent="0.15"/>
    <row r="8468" hidden="1" x14ac:dyDescent="0.15"/>
    <row r="8469" hidden="1" x14ac:dyDescent="0.15"/>
    <row r="8470" hidden="1" x14ac:dyDescent="0.15"/>
    <row r="8471" hidden="1" x14ac:dyDescent="0.15"/>
    <row r="8472" hidden="1" x14ac:dyDescent="0.15"/>
    <row r="8473" hidden="1" x14ac:dyDescent="0.15"/>
    <row r="8474" hidden="1" x14ac:dyDescent="0.15"/>
    <row r="8475" hidden="1" x14ac:dyDescent="0.15"/>
    <row r="8476" hidden="1" x14ac:dyDescent="0.15"/>
    <row r="8477" hidden="1" x14ac:dyDescent="0.15"/>
    <row r="8478" hidden="1" x14ac:dyDescent="0.15"/>
    <row r="8479" hidden="1" x14ac:dyDescent="0.15"/>
    <row r="8480" hidden="1" x14ac:dyDescent="0.15"/>
    <row r="8481" hidden="1" x14ac:dyDescent="0.15"/>
    <row r="8482" hidden="1" x14ac:dyDescent="0.15"/>
    <row r="8483" hidden="1" x14ac:dyDescent="0.15"/>
    <row r="8484" hidden="1" x14ac:dyDescent="0.15"/>
    <row r="8485" hidden="1" x14ac:dyDescent="0.15"/>
    <row r="8486" hidden="1" x14ac:dyDescent="0.15"/>
    <row r="8487" hidden="1" x14ac:dyDescent="0.15"/>
    <row r="8488" hidden="1" x14ac:dyDescent="0.15"/>
    <row r="8489" hidden="1" x14ac:dyDescent="0.15"/>
    <row r="8490" hidden="1" x14ac:dyDescent="0.15"/>
    <row r="8491" hidden="1" x14ac:dyDescent="0.15"/>
    <row r="8492" hidden="1" x14ac:dyDescent="0.15"/>
    <row r="8493" hidden="1" x14ac:dyDescent="0.15"/>
    <row r="8494" hidden="1" x14ac:dyDescent="0.15"/>
    <row r="8495" hidden="1" x14ac:dyDescent="0.15"/>
    <row r="8496" hidden="1" x14ac:dyDescent="0.15"/>
    <row r="8497" hidden="1" x14ac:dyDescent="0.15"/>
    <row r="8498" hidden="1" x14ac:dyDescent="0.15"/>
    <row r="8499" hidden="1" x14ac:dyDescent="0.15"/>
    <row r="8500" hidden="1" x14ac:dyDescent="0.15"/>
    <row r="8501" hidden="1" x14ac:dyDescent="0.15"/>
    <row r="8502" hidden="1" x14ac:dyDescent="0.15"/>
    <row r="8503" hidden="1" x14ac:dyDescent="0.15"/>
    <row r="8504" hidden="1" x14ac:dyDescent="0.15"/>
    <row r="8505" hidden="1" x14ac:dyDescent="0.15"/>
    <row r="8506" hidden="1" x14ac:dyDescent="0.15"/>
    <row r="8507" hidden="1" x14ac:dyDescent="0.15"/>
    <row r="8508" hidden="1" x14ac:dyDescent="0.15"/>
    <row r="8509" hidden="1" x14ac:dyDescent="0.15"/>
    <row r="8510" hidden="1" x14ac:dyDescent="0.15"/>
    <row r="8511" hidden="1" x14ac:dyDescent="0.15"/>
    <row r="8512" hidden="1" x14ac:dyDescent="0.15"/>
    <row r="8513" hidden="1" x14ac:dyDescent="0.15"/>
    <row r="8514" hidden="1" x14ac:dyDescent="0.15"/>
    <row r="8515" hidden="1" x14ac:dyDescent="0.15"/>
    <row r="8516" hidden="1" x14ac:dyDescent="0.15"/>
    <row r="8517" hidden="1" x14ac:dyDescent="0.15"/>
    <row r="8518" hidden="1" x14ac:dyDescent="0.15"/>
    <row r="8519" hidden="1" x14ac:dyDescent="0.15"/>
    <row r="8520" hidden="1" x14ac:dyDescent="0.15"/>
    <row r="8521" hidden="1" x14ac:dyDescent="0.15"/>
    <row r="8522" hidden="1" x14ac:dyDescent="0.15"/>
    <row r="8523" hidden="1" x14ac:dyDescent="0.15"/>
    <row r="8524" hidden="1" x14ac:dyDescent="0.15"/>
    <row r="8525" hidden="1" x14ac:dyDescent="0.15"/>
    <row r="8526" hidden="1" x14ac:dyDescent="0.15"/>
    <row r="8527" hidden="1" x14ac:dyDescent="0.15"/>
    <row r="8528" hidden="1" x14ac:dyDescent="0.15"/>
    <row r="8529" hidden="1" x14ac:dyDescent="0.15"/>
    <row r="8530" hidden="1" x14ac:dyDescent="0.15"/>
    <row r="8531" hidden="1" x14ac:dyDescent="0.15"/>
    <row r="8532" hidden="1" x14ac:dyDescent="0.15"/>
    <row r="8533" hidden="1" x14ac:dyDescent="0.15"/>
    <row r="8534" hidden="1" x14ac:dyDescent="0.15"/>
    <row r="8535" hidden="1" x14ac:dyDescent="0.15"/>
    <row r="8536" hidden="1" x14ac:dyDescent="0.15"/>
    <row r="8537" hidden="1" x14ac:dyDescent="0.15"/>
    <row r="8538" hidden="1" x14ac:dyDescent="0.15"/>
    <row r="8539" hidden="1" x14ac:dyDescent="0.15"/>
    <row r="8540" hidden="1" x14ac:dyDescent="0.15"/>
    <row r="8541" hidden="1" x14ac:dyDescent="0.15"/>
    <row r="8542" hidden="1" x14ac:dyDescent="0.15"/>
    <row r="8543" hidden="1" x14ac:dyDescent="0.15"/>
    <row r="8544" hidden="1" x14ac:dyDescent="0.15"/>
    <row r="8545" hidden="1" x14ac:dyDescent="0.15"/>
    <row r="8546" hidden="1" x14ac:dyDescent="0.15"/>
    <row r="8547" hidden="1" x14ac:dyDescent="0.15"/>
    <row r="8548" hidden="1" x14ac:dyDescent="0.15"/>
    <row r="8549" hidden="1" x14ac:dyDescent="0.15"/>
    <row r="8550" hidden="1" x14ac:dyDescent="0.15"/>
    <row r="8551" hidden="1" x14ac:dyDescent="0.15"/>
    <row r="8552" hidden="1" x14ac:dyDescent="0.15"/>
    <row r="8553" hidden="1" x14ac:dyDescent="0.15"/>
    <row r="8554" hidden="1" x14ac:dyDescent="0.15"/>
    <row r="8555" hidden="1" x14ac:dyDescent="0.15"/>
    <row r="8556" hidden="1" x14ac:dyDescent="0.15"/>
    <row r="8557" hidden="1" x14ac:dyDescent="0.15"/>
    <row r="8558" hidden="1" x14ac:dyDescent="0.15"/>
    <row r="8559" hidden="1" x14ac:dyDescent="0.15"/>
    <row r="8560" hidden="1" x14ac:dyDescent="0.15"/>
    <row r="8561" hidden="1" x14ac:dyDescent="0.15"/>
    <row r="8562" hidden="1" x14ac:dyDescent="0.15"/>
    <row r="8563" hidden="1" x14ac:dyDescent="0.15"/>
    <row r="8564" hidden="1" x14ac:dyDescent="0.15"/>
    <row r="8565" hidden="1" x14ac:dyDescent="0.15"/>
    <row r="8566" hidden="1" x14ac:dyDescent="0.15"/>
    <row r="8567" hidden="1" x14ac:dyDescent="0.15"/>
    <row r="8568" hidden="1" x14ac:dyDescent="0.15"/>
    <row r="8569" hidden="1" x14ac:dyDescent="0.15"/>
    <row r="8570" hidden="1" x14ac:dyDescent="0.15"/>
    <row r="8571" hidden="1" x14ac:dyDescent="0.15"/>
    <row r="8572" hidden="1" x14ac:dyDescent="0.15"/>
    <row r="8573" hidden="1" x14ac:dyDescent="0.15"/>
    <row r="8574" hidden="1" x14ac:dyDescent="0.15"/>
    <row r="8575" hidden="1" x14ac:dyDescent="0.15"/>
    <row r="8576" hidden="1" x14ac:dyDescent="0.15"/>
    <row r="8577" hidden="1" x14ac:dyDescent="0.15"/>
    <row r="8578" hidden="1" x14ac:dyDescent="0.15"/>
    <row r="8579" hidden="1" x14ac:dyDescent="0.15"/>
    <row r="8580" hidden="1" x14ac:dyDescent="0.15"/>
    <row r="8581" hidden="1" x14ac:dyDescent="0.15"/>
    <row r="8582" hidden="1" x14ac:dyDescent="0.15"/>
    <row r="8583" hidden="1" x14ac:dyDescent="0.15"/>
    <row r="8584" hidden="1" x14ac:dyDescent="0.15"/>
    <row r="8585" hidden="1" x14ac:dyDescent="0.15"/>
    <row r="8586" hidden="1" x14ac:dyDescent="0.15"/>
    <row r="8587" hidden="1" x14ac:dyDescent="0.15"/>
    <row r="8588" hidden="1" x14ac:dyDescent="0.15"/>
    <row r="8589" hidden="1" x14ac:dyDescent="0.15"/>
    <row r="8590" hidden="1" x14ac:dyDescent="0.15"/>
    <row r="8591" hidden="1" x14ac:dyDescent="0.15"/>
    <row r="8592" hidden="1" x14ac:dyDescent="0.15"/>
    <row r="8593" hidden="1" x14ac:dyDescent="0.15"/>
    <row r="8594" hidden="1" x14ac:dyDescent="0.15"/>
    <row r="8595" hidden="1" x14ac:dyDescent="0.15"/>
    <row r="8596" hidden="1" x14ac:dyDescent="0.15"/>
    <row r="8597" hidden="1" x14ac:dyDescent="0.15"/>
    <row r="8598" hidden="1" x14ac:dyDescent="0.15"/>
    <row r="8599" hidden="1" x14ac:dyDescent="0.15"/>
    <row r="8600" hidden="1" x14ac:dyDescent="0.15"/>
    <row r="8601" hidden="1" x14ac:dyDescent="0.15"/>
    <row r="8602" hidden="1" x14ac:dyDescent="0.15"/>
    <row r="8603" hidden="1" x14ac:dyDescent="0.15"/>
    <row r="8604" hidden="1" x14ac:dyDescent="0.15"/>
    <row r="8605" hidden="1" x14ac:dyDescent="0.15"/>
    <row r="8606" hidden="1" x14ac:dyDescent="0.15"/>
    <row r="8607" hidden="1" x14ac:dyDescent="0.15"/>
    <row r="8608" hidden="1" x14ac:dyDescent="0.15"/>
    <row r="8609" hidden="1" x14ac:dyDescent="0.15"/>
    <row r="8610" hidden="1" x14ac:dyDescent="0.15"/>
    <row r="8611" hidden="1" x14ac:dyDescent="0.15"/>
    <row r="8612" hidden="1" x14ac:dyDescent="0.15"/>
    <row r="8613" hidden="1" x14ac:dyDescent="0.15"/>
    <row r="8614" hidden="1" x14ac:dyDescent="0.15"/>
    <row r="8615" hidden="1" x14ac:dyDescent="0.15"/>
    <row r="8616" hidden="1" x14ac:dyDescent="0.15"/>
    <row r="8617" hidden="1" x14ac:dyDescent="0.15"/>
    <row r="8618" hidden="1" x14ac:dyDescent="0.15"/>
    <row r="8619" hidden="1" x14ac:dyDescent="0.15"/>
    <row r="8620" hidden="1" x14ac:dyDescent="0.15"/>
    <row r="8621" hidden="1" x14ac:dyDescent="0.15"/>
    <row r="8622" hidden="1" x14ac:dyDescent="0.15"/>
    <row r="8623" hidden="1" x14ac:dyDescent="0.15"/>
    <row r="8624" hidden="1" x14ac:dyDescent="0.15"/>
    <row r="8625" hidden="1" x14ac:dyDescent="0.15"/>
    <row r="8626" hidden="1" x14ac:dyDescent="0.15"/>
    <row r="8627" hidden="1" x14ac:dyDescent="0.15"/>
    <row r="8628" hidden="1" x14ac:dyDescent="0.15"/>
    <row r="8629" hidden="1" x14ac:dyDescent="0.15"/>
    <row r="8630" hidden="1" x14ac:dyDescent="0.15"/>
    <row r="8631" hidden="1" x14ac:dyDescent="0.15"/>
    <row r="8632" hidden="1" x14ac:dyDescent="0.15"/>
    <row r="8633" hidden="1" x14ac:dyDescent="0.15"/>
    <row r="8634" hidden="1" x14ac:dyDescent="0.15"/>
    <row r="8635" hidden="1" x14ac:dyDescent="0.15"/>
    <row r="8636" hidden="1" x14ac:dyDescent="0.15"/>
    <row r="8637" hidden="1" x14ac:dyDescent="0.15"/>
    <row r="8638" hidden="1" x14ac:dyDescent="0.15"/>
    <row r="8639" hidden="1" x14ac:dyDescent="0.15"/>
    <row r="8640" hidden="1" x14ac:dyDescent="0.15"/>
    <row r="8641" hidden="1" x14ac:dyDescent="0.15"/>
    <row r="8642" hidden="1" x14ac:dyDescent="0.15"/>
    <row r="8643" hidden="1" x14ac:dyDescent="0.15"/>
    <row r="8644" hidden="1" x14ac:dyDescent="0.15"/>
    <row r="8645" hidden="1" x14ac:dyDescent="0.15"/>
    <row r="8646" hidden="1" x14ac:dyDescent="0.15"/>
    <row r="8647" hidden="1" x14ac:dyDescent="0.15"/>
    <row r="8648" hidden="1" x14ac:dyDescent="0.15"/>
    <row r="8649" hidden="1" x14ac:dyDescent="0.15"/>
    <row r="8650" hidden="1" x14ac:dyDescent="0.15"/>
    <row r="8651" hidden="1" x14ac:dyDescent="0.15"/>
    <row r="8652" hidden="1" x14ac:dyDescent="0.15"/>
    <row r="8653" hidden="1" x14ac:dyDescent="0.15"/>
    <row r="8654" hidden="1" x14ac:dyDescent="0.15"/>
    <row r="8655" hidden="1" x14ac:dyDescent="0.15"/>
    <row r="8656" hidden="1" x14ac:dyDescent="0.15"/>
    <row r="8657" hidden="1" x14ac:dyDescent="0.15"/>
    <row r="8658" hidden="1" x14ac:dyDescent="0.15"/>
    <row r="8659" hidden="1" x14ac:dyDescent="0.15"/>
    <row r="8660" hidden="1" x14ac:dyDescent="0.15"/>
    <row r="8661" hidden="1" x14ac:dyDescent="0.15"/>
    <row r="8662" hidden="1" x14ac:dyDescent="0.15"/>
    <row r="8663" hidden="1" x14ac:dyDescent="0.15"/>
    <row r="8664" hidden="1" x14ac:dyDescent="0.15"/>
    <row r="8665" hidden="1" x14ac:dyDescent="0.15"/>
    <row r="8666" hidden="1" x14ac:dyDescent="0.15"/>
    <row r="8667" hidden="1" x14ac:dyDescent="0.15"/>
    <row r="8668" hidden="1" x14ac:dyDescent="0.15"/>
    <row r="8669" hidden="1" x14ac:dyDescent="0.15"/>
    <row r="8670" hidden="1" x14ac:dyDescent="0.15"/>
    <row r="8671" hidden="1" x14ac:dyDescent="0.15"/>
    <row r="8672" hidden="1" x14ac:dyDescent="0.15"/>
    <row r="8673" hidden="1" x14ac:dyDescent="0.15"/>
    <row r="8674" hidden="1" x14ac:dyDescent="0.15"/>
    <row r="8675" hidden="1" x14ac:dyDescent="0.15"/>
    <row r="8676" hidden="1" x14ac:dyDescent="0.15"/>
    <row r="8677" hidden="1" x14ac:dyDescent="0.15"/>
    <row r="8678" hidden="1" x14ac:dyDescent="0.15"/>
    <row r="8679" hidden="1" x14ac:dyDescent="0.15"/>
    <row r="8680" hidden="1" x14ac:dyDescent="0.15"/>
    <row r="8681" hidden="1" x14ac:dyDescent="0.15"/>
    <row r="8682" hidden="1" x14ac:dyDescent="0.15"/>
    <row r="8683" hidden="1" x14ac:dyDescent="0.15"/>
    <row r="8684" hidden="1" x14ac:dyDescent="0.15"/>
    <row r="8685" hidden="1" x14ac:dyDescent="0.15"/>
    <row r="8686" hidden="1" x14ac:dyDescent="0.15"/>
    <row r="8687" hidden="1" x14ac:dyDescent="0.15"/>
    <row r="8688" hidden="1" x14ac:dyDescent="0.15"/>
    <row r="8689" hidden="1" x14ac:dyDescent="0.15"/>
    <row r="8690" hidden="1" x14ac:dyDescent="0.15"/>
    <row r="8691" hidden="1" x14ac:dyDescent="0.15"/>
    <row r="8692" hidden="1" x14ac:dyDescent="0.15"/>
    <row r="8693" hidden="1" x14ac:dyDescent="0.15"/>
    <row r="8694" hidden="1" x14ac:dyDescent="0.15"/>
    <row r="8695" hidden="1" x14ac:dyDescent="0.15"/>
    <row r="8696" hidden="1" x14ac:dyDescent="0.15"/>
    <row r="8697" hidden="1" x14ac:dyDescent="0.15"/>
    <row r="8698" hidden="1" x14ac:dyDescent="0.15"/>
    <row r="8699" hidden="1" x14ac:dyDescent="0.15"/>
    <row r="8700" hidden="1" x14ac:dyDescent="0.15"/>
    <row r="8701" hidden="1" x14ac:dyDescent="0.15"/>
    <row r="8702" hidden="1" x14ac:dyDescent="0.15"/>
    <row r="8703" hidden="1" x14ac:dyDescent="0.15"/>
    <row r="8704" hidden="1" x14ac:dyDescent="0.15"/>
    <row r="8705" hidden="1" x14ac:dyDescent="0.15"/>
    <row r="8706" hidden="1" x14ac:dyDescent="0.15"/>
    <row r="8707" hidden="1" x14ac:dyDescent="0.15"/>
    <row r="8708" hidden="1" x14ac:dyDescent="0.15"/>
    <row r="8709" hidden="1" x14ac:dyDescent="0.15"/>
    <row r="8710" hidden="1" x14ac:dyDescent="0.15"/>
    <row r="8711" hidden="1" x14ac:dyDescent="0.15"/>
    <row r="8712" hidden="1" x14ac:dyDescent="0.15"/>
    <row r="8713" hidden="1" x14ac:dyDescent="0.15"/>
    <row r="8714" hidden="1" x14ac:dyDescent="0.15"/>
    <row r="8715" hidden="1" x14ac:dyDescent="0.15"/>
    <row r="8716" hidden="1" x14ac:dyDescent="0.15"/>
    <row r="8717" hidden="1" x14ac:dyDescent="0.15"/>
    <row r="8718" hidden="1" x14ac:dyDescent="0.15"/>
    <row r="8719" hidden="1" x14ac:dyDescent="0.15"/>
    <row r="8720" hidden="1" x14ac:dyDescent="0.15"/>
    <row r="8721" hidden="1" x14ac:dyDescent="0.15"/>
    <row r="8722" hidden="1" x14ac:dyDescent="0.15"/>
    <row r="8723" hidden="1" x14ac:dyDescent="0.15"/>
    <row r="8724" hidden="1" x14ac:dyDescent="0.15"/>
    <row r="8725" hidden="1" x14ac:dyDescent="0.15"/>
    <row r="8726" hidden="1" x14ac:dyDescent="0.15"/>
    <row r="8727" hidden="1" x14ac:dyDescent="0.15"/>
    <row r="8728" hidden="1" x14ac:dyDescent="0.15"/>
    <row r="8729" hidden="1" x14ac:dyDescent="0.15"/>
    <row r="8730" hidden="1" x14ac:dyDescent="0.15"/>
    <row r="8731" hidden="1" x14ac:dyDescent="0.15"/>
    <row r="8732" hidden="1" x14ac:dyDescent="0.15"/>
    <row r="8733" hidden="1" x14ac:dyDescent="0.15"/>
    <row r="8734" hidden="1" x14ac:dyDescent="0.15"/>
    <row r="8735" hidden="1" x14ac:dyDescent="0.15"/>
    <row r="8736" hidden="1" x14ac:dyDescent="0.15"/>
    <row r="8737" hidden="1" x14ac:dyDescent="0.15"/>
    <row r="8738" hidden="1" x14ac:dyDescent="0.15"/>
    <row r="8739" hidden="1" x14ac:dyDescent="0.15"/>
    <row r="8740" hidden="1" x14ac:dyDescent="0.15"/>
    <row r="8741" hidden="1" x14ac:dyDescent="0.15"/>
    <row r="8742" hidden="1" x14ac:dyDescent="0.15"/>
    <row r="8743" hidden="1" x14ac:dyDescent="0.15"/>
    <row r="8744" hidden="1" x14ac:dyDescent="0.15"/>
    <row r="8745" hidden="1" x14ac:dyDescent="0.15"/>
    <row r="8746" hidden="1" x14ac:dyDescent="0.15"/>
    <row r="8747" hidden="1" x14ac:dyDescent="0.15"/>
    <row r="8748" hidden="1" x14ac:dyDescent="0.15"/>
    <row r="8749" hidden="1" x14ac:dyDescent="0.15"/>
    <row r="8750" hidden="1" x14ac:dyDescent="0.15"/>
    <row r="8751" hidden="1" x14ac:dyDescent="0.15"/>
    <row r="8752" hidden="1" x14ac:dyDescent="0.15"/>
    <row r="8753" hidden="1" x14ac:dyDescent="0.15"/>
    <row r="8754" hidden="1" x14ac:dyDescent="0.15"/>
    <row r="8755" hidden="1" x14ac:dyDescent="0.15"/>
    <row r="8756" hidden="1" x14ac:dyDescent="0.15"/>
    <row r="8757" hidden="1" x14ac:dyDescent="0.15"/>
    <row r="8758" hidden="1" x14ac:dyDescent="0.15"/>
    <row r="8759" hidden="1" x14ac:dyDescent="0.15"/>
    <row r="8760" hidden="1" x14ac:dyDescent="0.15"/>
    <row r="8761" hidden="1" x14ac:dyDescent="0.15"/>
    <row r="8762" hidden="1" x14ac:dyDescent="0.15"/>
    <row r="8763" hidden="1" x14ac:dyDescent="0.15"/>
    <row r="8764" hidden="1" x14ac:dyDescent="0.15"/>
    <row r="8765" hidden="1" x14ac:dyDescent="0.15"/>
    <row r="8766" hidden="1" x14ac:dyDescent="0.15"/>
    <row r="8767" hidden="1" x14ac:dyDescent="0.15"/>
    <row r="8768" hidden="1" x14ac:dyDescent="0.15"/>
    <row r="8769" hidden="1" x14ac:dyDescent="0.15"/>
    <row r="8770" hidden="1" x14ac:dyDescent="0.15"/>
    <row r="8771" hidden="1" x14ac:dyDescent="0.15"/>
    <row r="8772" hidden="1" x14ac:dyDescent="0.15"/>
    <row r="8773" hidden="1" x14ac:dyDescent="0.15"/>
    <row r="8774" hidden="1" x14ac:dyDescent="0.15"/>
    <row r="8775" hidden="1" x14ac:dyDescent="0.15"/>
    <row r="8776" hidden="1" x14ac:dyDescent="0.15"/>
    <row r="8777" hidden="1" x14ac:dyDescent="0.15"/>
    <row r="8778" hidden="1" x14ac:dyDescent="0.15"/>
    <row r="8779" hidden="1" x14ac:dyDescent="0.15"/>
    <row r="8780" hidden="1" x14ac:dyDescent="0.15"/>
    <row r="8781" hidden="1" x14ac:dyDescent="0.15"/>
    <row r="8782" hidden="1" x14ac:dyDescent="0.15"/>
    <row r="8783" hidden="1" x14ac:dyDescent="0.15"/>
    <row r="8784" hidden="1" x14ac:dyDescent="0.15"/>
    <row r="8785" hidden="1" x14ac:dyDescent="0.15"/>
    <row r="8786" hidden="1" x14ac:dyDescent="0.15"/>
    <row r="8787" hidden="1" x14ac:dyDescent="0.15"/>
    <row r="8788" hidden="1" x14ac:dyDescent="0.15"/>
    <row r="8789" hidden="1" x14ac:dyDescent="0.15"/>
    <row r="8790" hidden="1" x14ac:dyDescent="0.15"/>
    <row r="8791" hidden="1" x14ac:dyDescent="0.15"/>
    <row r="8792" hidden="1" x14ac:dyDescent="0.15"/>
    <row r="8793" hidden="1" x14ac:dyDescent="0.15"/>
    <row r="8794" hidden="1" x14ac:dyDescent="0.15"/>
    <row r="8795" hidden="1" x14ac:dyDescent="0.15"/>
    <row r="8796" hidden="1" x14ac:dyDescent="0.15"/>
    <row r="8797" hidden="1" x14ac:dyDescent="0.15"/>
    <row r="8798" hidden="1" x14ac:dyDescent="0.15"/>
    <row r="8799" hidden="1" x14ac:dyDescent="0.15"/>
    <row r="8800" hidden="1" x14ac:dyDescent="0.15"/>
    <row r="8801" hidden="1" x14ac:dyDescent="0.15"/>
    <row r="8802" hidden="1" x14ac:dyDescent="0.15"/>
    <row r="8803" hidden="1" x14ac:dyDescent="0.15"/>
    <row r="8804" hidden="1" x14ac:dyDescent="0.15"/>
    <row r="8805" hidden="1" x14ac:dyDescent="0.15"/>
    <row r="8806" hidden="1" x14ac:dyDescent="0.15"/>
    <row r="8807" hidden="1" x14ac:dyDescent="0.15"/>
    <row r="8808" hidden="1" x14ac:dyDescent="0.15"/>
    <row r="8809" hidden="1" x14ac:dyDescent="0.15"/>
    <row r="8810" hidden="1" x14ac:dyDescent="0.15"/>
    <row r="8811" hidden="1" x14ac:dyDescent="0.15"/>
    <row r="8812" hidden="1" x14ac:dyDescent="0.15"/>
    <row r="8813" hidden="1" x14ac:dyDescent="0.15"/>
    <row r="8814" hidden="1" x14ac:dyDescent="0.15"/>
    <row r="8815" hidden="1" x14ac:dyDescent="0.15"/>
    <row r="8816" hidden="1" x14ac:dyDescent="0.15"/>
    <row r="8817" hidden="1" x14ac:dyDescent="0.15"/>
    <row r="8818" hidden="1" x14ac:dyDescent="0.15"/>
    <row r="8819" hidden="1" x14ac:dyDescent="0.15"/>
    <row r="8820" hidden="1" x14ac:dyDescent="0.15"/>
    <row r="8821" hidden="1" x14ac:dyDescent="0.15"/>
    <row r="8822" hidden="1" x14ac:dyDescent="0.15"/>
    <row r="8823" hidden="1" x14ac:dyDescent="0.15"/>
    <row r="8824" hidden="1" x14ac:dyDescent="0.15"/>
    <row r="8825" hidden="1" x14ac:dyDescent="0.15"/>
    <row r="8826" hidden="1" x14ac:dyDescent="0.15"/>
    <row r="8827" hidden="1" x14ac:dyDescent="0.15"/>
    <row r="8828" hidden="1" x14ac:dyDescent="0.15"/>
    <row r="8829" hidden="1" x14ac:dyDescent="0.15"/>
    <row r="8830" hidden="1" x14ac:dyDescent="0.15"/>
    <row r="8831" hidden="1" x14ac:dyDescent="0.15"/>
    <row r="8832" hidden="1" x14ac:dyDescent="0.15"/>
    <row r="8833" hidden="1" x14ac:dyDescent="0.15"/>
    <row r="8834" hidden="1" x14ac:dyDescent="0.15"/>
    <row r="8835" hidden="1" x14ac:dyDescent="0.15"/>
    <row r="8836" hidden="1" x14ac:dyDescent="0.15"/>
    <row r="8837" hidden="1" x14ac:dyDescent="0.15"/>
    <row r="8838" hidden="1" x14ac:dyDescent="0.15"/>
    <row r="8839" hidden="1" x14ac:dyDescent="0.15"/>
    <row r="8840" hidden="1" x14ac:dyDescent="0.15"/>
    <row r="8841" hidden="1" x14ac:dyDescent="0.15"/>
    <row r="8842" hidden="1" x14ac:dyDescent="0.15"/>
    <row r="8843" hidden="1" x14ac:dyDescent="0.15"/>
    <row r="8844" hidden="1" x14ac:dyDescent="0.15"/>
    <row r="8845" hidden="1" x14ac:dyDescent="0.15"/>
    <row r="8846" hidden="1" x14ac:dyDescent="0.15"/>
    <row r="8847" hidden="1" x14ac:dyDescent="0.15"/>
    <row r="8848" hidden="1" x14ac:dyDescent="0.15"/>
    <row r="8849" hidden="1" x14ac:dyDescent="0.15"/>
    <row r="8850" hidden="1" x14ac:dyDescent="0.15"/>
    <row r="8851" hidden="1" x14ac:dyDescent="0.15"/>
    <row r="8852" hidden="1" x14ac:dyDescent="0.15"/>
    <row r="8853" hidden="1" x14ac:dyDescent="0.15"/>
    <row r="8854" hidden="1" x14ac:dyDescent="0.15"/>
    <row r="8855" hidden="1" x14ac:dyDescent="0.15"/>
    <row r="8856" hidden="1" x14ac:dyDescent="0.15"/>
    <row r="8857" hidden="1" x14ac:dyDescent="0.15"/>
    <row r="8858" hidden="1" x14ac:dyDescent="0.15"/>
    <row r="8859" hidden="1" x14ac:dyDescent="0.15"/>
    <row r="8860" hidden="1" x14ac:dyDescent="0.15"/>
    <row r="8861" hidden="1" x14ac:dyDescent="0.15"/>
    <row r="8862" hidden="1" x14ac:dyDescent="0.15"/>
    <row r="8863" hidden="1" x14ac:dyDescent="0.15"/>
    <row r="8864" hidden="1" x14ac:dyDescent="0.15"/>
    <row r="8865" hidden="1" x14ac:dyDescent="0.15"/>
    <row r="8866" hidden="1" x14ac:dyDescent="0.15"/>
    <row r="8867" hidden="1" x14ac:dyDescent="0.15"/>
    <row r="8868" hidden="1" x14ac:dyDescent="0.15"/>
    <row r="8869" hidden="1" x14ac:dyDescent="0.15"/>
    <row r="8870" hidden="1" x14ac:dyDescent="0.15"/>
    <row r="8871" hidden="1" x14ac:dyDescent="0.15"/>
    <row r="8872" hidden="1" x14ac:dyDescent="0.15"/>
    <row r="8873" hidden="1" x14ac:dyDescent="0.15"/>
    <row r="8874" hidden="1" x14ac:dyDescent="0.15"/>
    <row r="8875" hidden="1" x14ac:dyDescent="0.15"/>
    <row r="8876" hidden="1" x14ac:dyDescent="0.15"/>
    <row r="8877" hidden="1" x14ac:dyDescent="0.15"/>
    <row r="8878" hidden="1" x14ac:dyDescent="0.15"/>
    <row r="8879" hidden="1" x14ac:dyDescent="0.15"/>
    <row r="8880" hidden="1" x14ac:dyDescent="0.15"/>
    <row r="8881" hidden="1" x14ac:dyDescent="0.15"/>
    <row r="8882" hidden="1" x14ac:dyDescent="0.15"/>
    <row r="8883" hidden="1" x14ac:dyDescent="0.15"/>
    <row r="8884" hidden="1" x14ac:dyDescent="0.15"/>
    <row r="8885" hidden="1" x14ac:dyDescent="0.15"/>
    <row r="8886" hidden="1" x14ac:dyDescent="0.15"/>
    <row r="8887" hidden="1" x14ac:dyDescent="0.15"/>
    <row r="8888" hidden="1" x14ac:dyDescent="0.15"/>
    <row r="8889" hidden="1" x14ac:dyDescent="0.15"/>
    <row r="8890" hidden="1" x14ac:dyDescent="0.15"/>
    <row r="8891" hidden="1" x14ac:dyDescent="0.15"/>
    <row r="8892" hidden="1" x14ac:dyDescent="0.15"/>
    <row r="8893" hidden="1" x14ac:dyDescent="0.15"/>
    <row r="8894" hidden="1" x14ac:dyDescent="0.15"/>
    <row r="8895" hidden="1" x14ac:dyDescent="0.15"/>
    <row r="8896" hidden="1" x14ac:dyDescent="0.15"/>
    <row r="8897" hidden="1" x14ac:dyDescent="0.15"/>
    <row r="8898" hidden="1" x14ac:dyDescent="0.15"/>
    <row r="8899" hidden="1" x14ac:dyDescent="0.15"/>
    <row r="8900" hidden="1" x14ac:dyDescent="0.15"/>
    <row r="8901" hidden="1" x14ac:dyDescent="0.15"/>
    <row r="8902" hidden="1" x14ac:dyDescent="0.15"/>
    <row r="8903" hidden="1" x14ac:dyDescent="0.15"/>
    <row r="8904" hidden="1" x14ac:dyDescent="0.15"/>
    <row r="8905" hidden="1" x14ac:dyDescent="0.15"/>
    <row r="8906" hidden="1" x14ac:dyDescent="0.15"/>
    <row r="8907" hidden="1" x14ac:dyDescent="0.15"/>
    <row r="8908" hidden="1" x14ac:dyDescent="0.15"/>
    <row r="8909" hidden="1" x14ac:dyDescent="0.15"/>
    <row r="8910" hidden="1" x14ac:dyDescent="0.15"/>
    <row r="8911" hidden="1" x14ac:dyDescent="0.15"/>
    <row r="8912" hidden="1" x14ac:dyDescent="0.15"/>
    <row r="8913" hidden="1" x14ac:dyDescent="0.15"/>
    <row r="8914" hidden="1" x14ac:dyDescent="0.15"/>
    <row r="8915" hidden="1" x14ac:dyDescent="0.15"/>
    <row r="8916" hidden="1" x14ac:dyDescent="0.15"/>
    <row r="8917" hidden="1" x14ac:dyDescent="0.15"/>
    <row r="8918" hidden="1" x14ac:dyDescent="0.15"/>
    <row r="8919" hidden="1" x14ac:dyDescent="0.15"/>
    <row r="8920" hidden="1" x14ac:dyDescent="0.15"/>
    <row r="8921" hidden="1" x14ac:dyDescent="0.15"/>
    <row r="8922" hidden="1" x14ac:dyDescent="0.15"/>
    <row r="8923" hidden="1" x14ac:dyDescent="0.15"/>
    <row r="8924" hidden="1" x14ac:dyDescent="0.15"/>
    <row r="8925" hidden="1" x14ac:dyDescent="0.15"/>
    <row r="8926" hidden="1" x14ac:dyDescent="0.15"/>
    <row r="8927" hidden="1" x14ac:dyDescent="0.15"/>
    <row r="8928" hidden="1" x14ac:dyDescent="0.15"/>
    <row r="8929" hidden="1" x14ac:dyDescent="0.15"/>
    <row r="8930" hidden="1" x14ac:dyDescent="0.15"/>
    <row r="8931" hidden="1" x14ac:dyDescent="0.15"/>
    <row r="8932" hidden="1" x14ac:dyDescent="0.15"/>
    <row r="8933" hidden="1" x14ac:dyDescent="0.15"/>
    <row r="8934" hidden="1" x14ac:dyDescent="0.15"/>
    <row r="8935" hidden="1" x14ac:dyDescent="0.15"/>
    <row r="8936" hidden="1" x14ac:dyDescent="0.15"/>
    <row r="8937" hidden="1" x14ac:dyDescent="0.15"/>
    <row r="8938" hidden="1" x14ac:dyDescent="0.15"/>
    <row r="8939" hidden="1" x14ac:dyDescent="0.15"/>
    <row r="8940" hidden="1" x14ac:dyDescent="0.15"/>
    <row r="8941" hidden="1" x14ac:dyDescent="0.15"/>
    <row r="8942" hidden="1" x14ac:dyDescent="0.15"/>
    <row r="8943" hidden="1" x14ac:dyDescent="0.15"/>
    <row r="8944" hidden="1" x14ac:dyDescent="0.15"/>
    <row r="8945" hidden="1" x14ac:dyDescent="0.15"/>
    <row r="8946" hidden="1" x14ac:dyDescent="0.15"/>
    <row r="8947" hidden="1" x14ac:dyDescent="0.15"/>
    <row r="8948" hidden="1" x14ac:dyDescent="0.15"/>
    <row r="8949" hidden="1" x14ac:dyDescent="0.15"/>
    <row r="8950" hidden="1" x14ac:dyDescent="0.15"/>
    <row r="8951" hidden="1" x14ac:dyDescent="0.15"/>
    <row r="8952" hidden="1" x14ac:dyDescent="0.15"/>
    <row r="8953" hidden="1" x14ac:dyDescent="0.15"/>
    <row r="8954" hidden="1" x14ac:dyDescent="0.15"/>
    <row r="8955" hidden="1" x14ac:dyDescent="0.15"/>
    <row r="8956" hidden="1" x14ac:dyDescent="0.15"/>
    <row r="8957" hidden="1" x14ac:dyDescent="0.15"/>
    <row r="8958" hidden="1" x14ac:dyDescent="0.15"/>
    <row r="8959" hidden="1" x14ac:dyDescent="0.15"/>
    <row r="8960" hidden="1" x14ac:dyDescent="0.15"/>
    <row r="8961" hidden="1" x14ac:dyDescent="0.15"/>
    <row r="8962" hidden="1" x14ac:dyDescent="0.15"/>
    <row r="8963" hidden="1" x14ac:dyDescent="0.15"/>
    <row r="8964" hidden="1" x14ac:dyDescent="0.15"/>
    <row r="8965" hidden="1" x14ac:dyDescent="0.15"/>
    <row r="8966" hidden="1" x14ac:dyDescent="0.15"/>
    <row r="8967" hidden="1" x14ac:dyDescent="0.15"/>
    <row r="8968" hidden="1" x14ac:dyDescent="0.15"/>
    <row r="8969" hidden="1" x14ac:dyDescent="0.15"/>
    <row r="8970" hidden="1" x14ac:dyDescent="0.15"/>
    <row r="8971" hidden="1" x14ac:dyDescent="0.15"/>
    <row r="8972" hidden="1" x14ac:dyDescent="0.15"/>
    <row r="8973" hidden="1" x14ac:dyDescent="0.15"/>
    <row r="8974" hidden="1" x14ac:dyDescent="0.15"/>
    <row r="8975" hidden="1" x14ac:dyDescent="0.15"/>
    <row r="8976" hidden="1" x14ac:dyDescent="0.15"/>
    <row r="8977" hidden="1" x14ac:dyDescent="0.15"/>
    <row r="8978" hidden="1" x14ac:dyDescent="0.15"/>
    <row r="8979" hidden="1" x14ac:dyDescent="0.15"/>
    <row r="8980" hidden="1" x14ac:dyDescent="0.15"/>
    <row r="8981" hidden="1" x14ac:dyDescent="0.15"/>
    <row r="8982" hidden="1" x14ac:dyDescent="0.15"/>
    <row r="8983" hidden="1" x14ac:dyDescent="0.15"/>
    <row r="8984" hidden="1" x14ac:dyDescent="0.15"/>
    <row r="8985" hidden="1" x14ac:dyDescent="0.15"/>
    <row r="8986" hidden="1" x14ac:dyDescent="0.15"/>
    <row r="8987" hidden="1" x14ac:dyDescent="0.15"/>
    <row r="8988" hidden="1" x14ac:dyDescent="0.15"/>
    <row r="8989" hidden="1" x14ac:dyDescent="0.15"/>
    <row r="8990" hidden="1" x14ac:dyDescent="0.15"/>
    <row r="8991" hidden="1" x14ac:dyDescent="0.15"/>
    <row r="8992" hidden="1" x14ac:dyDescent="0.15"/>
    <row r="8993" hidden="1" x14ac:dyDescent="0.15"/>
    <row r="8994" hidden="1" x14ac:dyDescent="0.15"/>
    <row r="8995" hidden="1" x14ac:dyDescent="0.15"/>
    <row r="8996" hidden="1" x14ac:dyDescent="0.15"/>
    <row r="8997" hidden="1" x14ac:dyDescent="0.15"/>
    <row r="8998" hidden="1" x14ac:dyDescent="0.15"/>
    <row r="8999" hidden="1" x14ac:dyDescent="0.15"/>
    <row r="9000" hidden="1" x14ac:dyDescent="0.15"/>
    <row r="9001" hidden="1" x14ac:dyDescent="0.15"/>
    <row r="9002" hidden="1" x14ac:dyDescent="0.15"/>
    <row r="9003" hidden="1" x14ac:dyDescent="0.15"/>
    <row r="9004" hidden="1" x14ac:dyDescent="0.15"/>
    <row r="9005" hidden="1" x14ac:dyDescent="0.15"/>
    <row r="9006" hidden="1" x14ac:dyDescent="0.15"/>
    <row r="9007" hidden="1" x14ac:dyDescent="0.15"/>
    <row r="9008" hidden="1" x14ac:dyDescent="0.15"/>
    <row r="9009" hidden="1" x14ac:dyDescent="0.15"/>
    <row r="9010" hidden="1" x14ac:dyDescent="0.15"/>
    <row r="9011" hidden="1" x14ac:dyDescent="0.15"/>
    <row r="9012" hidden="1" x14ac:dyDescent="0.15"/>
    <row r="9013" hidden="1" x14ac:dyDescent="0.15"/>
    <row r="9014" hidden="1" x14ac:dyDescent="0.15"/>
    <row r="9015" hidden="1" x14ac:dyDescent="0.15"/>
    <row r="9016" hidden="1" x14ac:dyDescent="0.15"/>
    <row r="9017" hidden="1" x14ac:dyDescent="0.15"/>
    <row r="9018" hidden="1" x14ac:dyDescent="0.15"/>
    <row r="9019" hidden="1" x14ac:dyDescent="0.15"/>
    <row r="9020" hidden="1" x14ac:dyDescent="0.15"/>
    <row r="9021" hidden="1" x14ac:dyDescent="0.15"/>
    <row r="9022" hidden="1" x14ac:dyDescent="0.15"/>
    <row r="9023" hidden="1" x14ac:dyDescent="0.15"/>
    <row r="9024" hidden="1" x14ac:dyDescent="0.15"/>
    <row r="9025" hidden="1" x14ac:dyDescent="0.15"/>
    <row r="9026" hidden="1" x14ac:dyDescent="0.15"/>
    <row r="9027" hidden="1" x14ac:dyDescent="0.15"/>
    <row r="9028" hidden="1" x14ac:dyDescent="0.15"/>
    <row r="9029" hidden="1" x14ac:dyDescent="0.15"/>
    <row r="9030" hidden="1" x14ac:dyDescent="0.15"/>
    <row r="9031" hidden="1" x14ac:dyDescent="0.15"/>
    <row r="9032" hidden="1" x14ac:dyDescent="0.15"/>
    <row r="9033" hidden="1" x14ac:dyDescent="0.15"/>
    <row r="9034" hidden="1" x14ac:dyDescent="0.15"/>
    <row r="9035" hidden="1" x14ac:dyDescent="0.15"/>
    <row r="9036" hidden="1" x14ac:dyDescent="0.15"/>
    <row r="9037" hidden="1" x14ac:dyDescent="0.15"/>
    <row r="9038" hidden="1" x14ac:dyDescent="0.15"/>
    <row r="9039" hidden="1" x14ac:dyDescent="0.15"/>
    <row r="9040" hidden="1" x14ac:dyDescent="0.15"/>
    <row r="9041" hidden="1" x14ac:dyDescent="0.15"/>
    <row r="9042" hidden="1" x14ac:dyDescent="0.15"/>
    <row r="9043" hidden="1" x14ac:dyDescent="0.15"/>
    <row r="9044" hidden="1" x14ac:dyDescent="0.15"/>
    <row r="9045" hidden="1" x14ac:dyDescent="0.15"/>
    <row r="9046" hidden="1" x14ac:dyDescent="0.15"/>
    <row r="9047" hidden="1" x14ac:dyDescent="0.15"/>
    <row r="9048" hidden="1" x14ac:dyDescent="0.15"/>
    <row r="9049" hidden="1" x14ac:dyDescent="0.15"/>
    <row r="9050" hidden="1" x14ac:dyDescent="0.15"/>
    <row r="9051" hidden="1" x14ac:dyDescent="0.15"/>
    <row r="9052" hidden="1" x14ac:dyDescent="0.15"/>
    <row r="9053" hidden="1" x14ac:dyDescent="0.15"/>
    <row r="9054" hidden="1" x14ac:dyDescent="0.15"/>
    <row r="9055" hidden="1" x14ac:dyDescent="0.15"/>
    <row r="9056" hidden="1" x14ac:dyDescent="0.15"/>
    <row r="9057" hidden="1" x14ac:dyDescent="0.15"/>
    <row r="9058" hidden="1" x14ac:dyDescent="0.15"/>
    <row r="9059" hidden="1" x14ac:dyDescent="0.15"/>
    <row r="9060" hidden="1" x14ac:dyDescent="0.15"/>
    <row r="9061" hidden="1" x14ac:dyDescent="0.15"/>
    <row r="9062" hidden="1" x14ac:dyDescent="0.15"/>
    <row r="9063" hidden="1" x14ac:dyDescent="0.15"/>
    <row r="9064" hidden="1" x14ac:dyDescent="0.15"/>
    <row r="9065" hidden="1" x14ac:dyDescent="0.15"/>
    <row r="9066" hidden="1" x14ac:dyDescent="0.15"/>
    <row r="9067" hidden="1" x14ac:dyDescent="0.15"/>
    <row r="9068" hidden="1" x14ac:dyDescent="0.15"/>
    <row r="9069" hidden="1" x14ac:dyDescent="0.15"/>
    <row r="9070" hidden="1" x14ac:dyDescent="0.15"/>
    <row r="9071" hidden="1" x14ac:dyDescent="0.15"/>
    <row r="9072" hidden="1" x14ac:dyDescent="0.15"/>
    <row r="9073" hidden="1" x14ac:dyDescent="0.15"/>
    <row r="9074" hidden="1" x14ac:dyDescent="0.15"/>
    <row r="9075" hidden="1" x14ac:dyDescent="0.15"/>
    <row r="9076" hidden="1" x14ac:dyDescent="0.15"/>
    <row r="9077" hidden="1" x14ac:dyDescent="0.15"/>
    <row r="9078" hidden="1" x14ac:dyDescent="0.15"/>
    <row r="9079" hidden="1" x14ac:dyDescent="0.15"/>
    <row r="9080" hidden="1" x14ac:dyDescent="0.15"/>
    <row r="9081" hidden="1" x14ac:dyDescent="0.15"/>
    <row r="9082" hidden="1" x14ac:dyDescent="0.15"/>
    <row r="9083" hidden="1" x14ac:dyDescent="0.15"/>
    <row r="9084" hidden="1" x14ac:dyDescent="0.15"/>
    <row r="9085" hidden="1" x14ac:dyDescent="0.15"/>
    <row r="9086" hidden="1" x14ac:dyDescent="0.15"/>
    <row r="9087" hidden="1" x14ac:dyDescent="0.15"/>
    <row r="9088" hidden="1" x14ac:dyDescent="0.15"/>
    <row r="9089" hidden="1" x14ac:dyDescent="0.15"/>
    <row r="9090" hidden="1" x14ac:dyDescent="0.15"/>
    <row r="9091" hidden="1" x14ac:dyDescent="0.15"/>
    <row r="9092" hidden="1" x14ac:dyDescent="0.15"/>
    <row r="9093" hidden="1" x14ac:dyDescent="0.15"/>
    <row r="9094" hidden="1" x14ac:dyDescent="0.15"/>
    <row r="9095" hidden="1" x14ac:dyDescent="0.15"/>
    <row r="9096" hidden="1" x14ac:dyDescent="0.15"/>
    <row r="9097" hidden="1" x14ac:dyDescent="0.15"/>
    <row r="9098" hidden="1" x14ac:dyDescent="0.15"/>
    <row r="9099" hidden="1" x14ac:dyDescent="0.15"/>
    <row r="9100" hidden="1" x14ac:dyDescent="0.15"/>
    <row r="9101" hidden="1" x14ac:dyDescent="0.15"/>
    <row r="9102" hidden="1" x14ac:dyDescent="0.15"/>
    <row r="9103" hidden="1" x14ac:dyDescent="0.15"/>
    <row r="9104" hidden="1" x14ac:dyDescent="0.15"/>
    <row r="9105" hidden="1" x14ac:dyDescent="0.15"/>
    <row r="9106" hidden="1" x14ac:dyDescent="0.15"/>
    <row r="9107" hidden="1" x14ac:dyDescent="0.15"/>
    <row r="9108" hidden="1" x14ac:dyDescent="0.15"/>
    <row r="9109" hidden="1" x14ac:dyDescent="0.15"/>
    <row r="9110" hidden="1" x14ac:dyDescent="0.15"/>
    <row r="9111" hidden="1" x14ac:dyDescent="0.15"/>
    <row r="9112" hidden="1" x14ac:dyDescent="0.15"/>
    <row r="9113" hidden="1" x14ac:dyDescent="0.15"/>
    <row r="9114" hidden="1" x14ac:dyDescent="0.15"/>
    <row r="9115" hidden="1" x14ac:dyDescent="0.15"/>
    <row r="9116" hidden="1" x14ac:dyDescent="0.15"/>
    <row r="9117" hidden="1" x14ac:dyDescent="0.15"/>
    <row r="9118" hidden="1" x14ac:dyDescent="0.15"/>
    <row r="9119" hidden="1" x14ac:dyDescent="0.15"/>
    <row r="9120" hidden="1" x14ac:dyDescent="0.15"/>
    <row r="9121" hidden="1" x14ac:dyDescent="0.15"/>
    <row r="9122" hidden="1" x14ac:dyDescent="0.15"/>
    <row r="9123" hidden="1" x14ac:dyDescent="0.15"/>
    <row r="9124" hidden="1" x14ac:dyDescent="0.15"/>
    <row r="9125" hidden="1" x14ac:dyDescent="0.15"/>
    <row r="9126" hidden="1" x14ac:dyDescent="0.15"/>
    <row r="9127" hidden="1" x14ac:dyDescent="0.15"/>
    <row r="9128" hidden="1" x14ac:dyDescent="0.15"/>
    <row r="9129" hidden="1" x14ac:dyDescent="0.15"/>
    <row r="9130" hidden="1" x14ac:dyDescent="0.15"/>
    <row r="9131" hidden="1" x14ac:dyDescent="0.15"/>
    <row r="9132" hidden="1" x14ac:dyDescent="0.15"/>
    <row r="9133" hidden="1" x14ac:dyDescent="0.15"/>
    <row r="9134" hidden="1" x14ac:dyDescent="0.15"/>
    <row r="9135" hidden="1" x14ac:dyDescent="0.15"/>
    <row r="9136" hidden="1" x14ac:dyDescent="0.15"/>
    <row r="9137" hidden="1" x14ac:dyDescent="0.15"/>
    <row r="9138" hidden="1" x14ac:dyDescent="0.15"/>
    <row r="9139" hidden="1" x14ac:dyDescent="0.15"/>
    <row r="9140" hidden="1" x14ac:dyDescent="0.15"/>
    <row r="9141" hidden="1" x14ac:dyDescent="0.15"/>
    <row r="9142" hidden="1" x14ac:dyDescent="0.15"/>
    <row r="9143" hidden="1" x14ac:dyDescent="0.15"/>
    <row r="9144" hidden="1" x14ac:dyDescent="0.15"/>
    <row r="9145" hidden="1" x14ac:dyDescent="0.15"/>
    <row r="9146" hidden="1" x14ac:dyDescent="0.15"/>
    <row r="9147" hidden="1" x14ac:dyDescent="0.15"/>
    <row r="9148" hidden="1" x14ac:dyDescent="0.15"/>
    <row r="9149" hidden="1" x14ac:dyDescent="0.15"/>
    <row r="9150" hidden="1" x14ac:dyDescent="0.15"/>
    <row r="9151" hidden="1" x14ac:dyDescent="0.15"/>
    <row r="9152" hidden="1" x14ac:dyDescent="0.15"/>
    <row r="9153" hidden="1" x14ac:dyDescent="0.15"/>
    <row r="9154" hidden="1" x14ac:dyDescent="0.15"/>
    <row r="9155" hidden="1" x14ac:dyDescent="0.15"/>
    <row r="9156" hidden="1" x14ac:dyDescent="0.15"/>
    <row r="9157" hidden="1" x14ac:dyDescent="0.15"/>
    <row r="9158" hidden="1" x14ac:dyDescent="0.15"/>
    <row r="9159" hidden="1" x14ac:dyDescent="0.15"/>
    <row r="9160" hidden="1" x14ac:dyDescent="0.15"/>
    <row r="9161" hidden="1" x14ac:dyDescent="0.15"/>
    <row r="9162" hidden="1" x14ac:dyDescent="0.15"/>
    <row r="9163" hidden="1" x14ac:dyDescent="0.15"/>
    <row r="9164" hidden="1" x14ac:dyDescent="0.15"/>
    <row r="9165" hidden="1" x14ac:dyDescent="0.15"/>
    <row r="9166" hidden="1" x14ac:dyDescent="0.15"/>
    <row r="9167" hidden="1" x14ac:dyDescent="0.15"/>
    <row r="9168" hidden="1" x14ac:dyDescent="0.15"/>
    <row r="9169" hidden="1" x14ac:dyDescent="0.15"/>
    <row r="9170" hidden="1" x14ac:dyDescent="0.15"/>
    <row r="9171" hidden="1" x14ac:dyDescent="0.15"/>
    <row r="9172" hidden="1" x14ac:dyDescent="0.15"/>
    <row r="9173" hidden="1" x14ac:dyDescent="0.15"/>
    <row r="9174" hidden="1" x14ac:dyDescent="0.15"/>
    <row r="9175" hidden="1" x14ac:dyDescent="0.15"/>
    <row r="9176" hidden="1" x14ac:dyDescent="0.15"/>
    <row r="9177" hidden="1" x14ac:dyDescent="0.15"/>
    <row r="9178" hidden="1" x14ac:dyDescent="0.15"/>
    <row r="9179" hidden="1" x14ac:dyDescent="0.15"/>
    <row r="9180" hidden="1" x14ac:dyDescent="0.15"/>
    <row r="9181" hidden="1" x14ac:dyDescent="0.15"/>
    <row r="9182" hidden="1" x14ac:dyDescent="0.15"/>
    <row r="9183" hidden="1" x14ac:dyDescent="0.15"/>
    <row r="9184" hidden="1" x14ac:dyDescent="0.15"/>
    <row r="9185" hidden="1" x14ac:dyDescent="0.15"/>
    <row r="9186" hidden="1" x14ac:dyDescent="0.15"/>
    <row r="9187" hidden="1" x14ac:dyDescent="0.15"/>
    <row r="9188" hidden="1" x14ac:dyDescent="0.15"/>
    <row r="9189" hidden="1" x14ac:dyDescent="0.15"/>
    <row r="9190" hidden="1" x14ac:dyDescent="0.15"/>
    <row r="9191" hidden="1" x14ac:dyDescent="0.15"/>
    <row r="9192" hidden="1" x14ac:dyDescent="0.15"/>
    <row r="9193" hidden="1" x14ac:dyDescent="0.15"/>
    <row r="9194" hidden="1" x14ac:dyDescent="0.15"/>
    <row r="9195" hidden="1" x14ac:dyDescent="0.15"/>
    <row r="9196" hidden="1" x14ac:dyDescent="0.15"/>
    <row r="9197" hidden="1" x14ac:dyDescent="0.15"/>
    <row r="9198" hidden="1" x14ac:dyDescent="0.15"/>
    <row r="9199" hidden="1" x14ac:dyDescent="0.15"/>
    <row r="9200" hidden="1" x14ac:dyDescent="0.15"/>
    <row r="9201" hidden="1" x14ac:dyDescent="0.15"/>
    <row r="9202" hidden="1" x14ac:dyDescent="0.15"/>
    <row r="9203" hidden="1" x14ac:dyDescent="0.15"/>
    <row r="9204" hidden="1" x14ac:dyDescent="0.15"/>
    <row r="9205" hidden="1" x14ac:dyDescent="0.15"/>
    <row r="9206" hidden="1" x14ac:dyDescent="0.15"/>
    <row r="9207" hidden="1" x14ac:dyDescent="0.15"/>
    <row r="9208" hidden="1" x14ac:dyDescent="0.15"/>
    <row r="9209" hidden="1" x14ac:dyDescent="0.15"/>
    <row r="9210" hidden="1" x14ac:dyDescent="0.15"/>
    <row r="9211" hidden="1" x14ac:dyDescent="0.15"/>
    <row r="9212" hidden="1" x14ac:dyDescent="0.15"/>
    <row r="9213" hidden="1" x14ac:dyDescent="0.15"/>
    <row r="9214" hidden="1" x14ac:dyDescent="0.15"/>
    <row r="9215" hidden="1" x14ac:dyDescent="0.15"/>
    <row r="9216" hidden="1" x14ac:dyDescent="0.15"/>
    <row r="9217" hidden="1" x14ac:dyDescent="0.15"/>
    <row r="9218" hidden="1" x14ac:dyDescent="0.15"/>
    <row r="9219" hidden="1" x14ac:dyDescent="0.15"/>
    <row r="9220" hidden="1" x14ac:dyDescent="0.15"/>
    <row r="9221" hidden="1" x14ac:dyDescent="0.15"/>
    <row r="9222" hidden="1" x14ac:dyDescent="0.15"/>
    <row r="9223" hidden="1" x14ac:dyDescent="0.15"/>
    <row r="9224" hidden="1" x14ac:dyDescent="0.15"/>
    <row r="9225" hidden="1" x14ac:dyDescent="0.15"/>
    <row r="9226" hidden="1" x14ac:dyDescent="0.15"/>
    <row r="9227" hidden="1" x14ac:dyDescent="0.15"/>
    <row r="9228" hidden="1" x14ac:dyDescent="0.15"/>
    <row r="9229" hidden="1" x14ac:dyDescent="0.15"/>
    <row r="9230" hidden="1" x14ac:dyDescent="0.15"/>
    <row r="9231" hidden="1" x14ac:dyDescent="0.15"/>
    <row r="9232" hidden="1" x14ac:dyDescent="0.15"/>
    <row r="9233" hidden="1" x14ac:dyDescent="0.15"/>
    <row r="9234" hidden="1" x14ac:dyDescent="0.15"/>
    <row r="9235" hidden="1" x14ac:dyDescent="0.15"/>
    <row r="9236" hidden="1" x14ac:dyDescent="0.15"/>
    <row r="9237" hidden="1" x14ac:dyDescent="0.15"/>
    <row r="9238" hidden="1" x14ac:dyDescent="0.15"/>
    <row r="9239" hidden="1" x14ac:dyDescent="0.15"/>
    <row r="9240" hidden="1" x14ac:dyDescent="0.15"/>
    <row r="9241" hidden="1" x14ac:dyDescent="0.15"/>
    <row r="9242" hidden="1" x14ac:dyDescent="0.15"/>
    <row r="9243" hidden="1" x14ac:dyDescent="0.15"/>
    <row r="9244" hidden="1" x14ac:dyDescent="0.15"/>
    <row r="9245" hidden="1" x14ac:dyDescent="0.15"/>
    <row r="9246" hidden="1" x14ac:dyDescent="0.15"/>
    <row r="9247" hidden="1" x14ac:dyDescent="0.15"/>
    <row r="9248" hidden="1" x14ac:dyDescent="0.15"/>
    <row r="9249" hidden="1" x14ac:dyDescent="0.15"/>
    <row r="9250" hidden="1" x14ac:dyDescent="0.15"/>
    <row r="9251" hidden="1" x14ac:dyDescent="0.15"/>
    <row r="9252" hidden="1" x14ac:dyDescent="0.15"/>
    <row r="9253" hidden="1" x14ac:dyDescent="0.15"/>
    <row r="9254" hidden="1" x14ac:dyDescent="0.15"/>
    <row r="9255" hidden="1" x14ac:dyDescent="0.15"/>
    <row r="9256" hidden="1" x14ac:dyDescent="0.15"/>
    <row r="9257" hidden="1" x14ac:dyDescent="0.15"/>
    <row r="9258" hidden="1" x14ac:dyDescent="0.15"/>
    <row r="9259" hidden="1" x14ac:dyDescent="0.15"/>
    <row r="9260" hidden="1" x14ac:dyDescent="0.15"/>
    <row r="9261" hidden="1" x14ac:dyDescent="0.15"/>
    <row r="9262" hidden="1" x14ac:dyDescent="0.15"/>
    <row r="9263" hidden="1" x14ac:dyDescent="0.15"/>
    <row r="9264" hidden="1" x14ac:dyDescent="0.15"/>
    <row r="9265" hidden="1" x14ac:dyDescent="0.15"/>
    <row r="9266" hidden="1" x14ac:dyDescent="0.15"/>
    <row r="9267" hidden="1" x14ac:dyDescent="0.15"/>
    <row r="9268" hidden="1" x14ac:dyDescent="0.15"/>
    <row r="9269" hidden="1" x14ac:dyDescent="0.15"/>
    <row r="9270" hidden="1" x14ac:dyDescent="0.15"/>
    <row r="9271" hidden="1" x14ac:dyDescent="0.15"/>
    <row r="9272" hidden="1" x14ac:dyDescent="0.15"/>
    <row r="9273" hidden="1" x14ac:dyDescent="0.15"/>
    <row r="9274" hidden="1" x14ac:dyDescent="0.15"/>
    <row r="9275" hidden="1" x14ac:dyDescent="0.15"/>
    <row r="9276" hidden="1" x14ac:dyDescent="0.15"/>
    <row r="9277" hidden="1" x14ac:dyDescent="0.15"/>
    <row r="9278" hidden="1" x14ac:dyDescent="0.15"/>
    <row r="9279" hidden="1" x14ac:dyDescent="0.15"/>
    <row r="9280" hidden="1" x14ac:dyDescent="0.15"/>
    <row r="9281" hidden="1" x14ac:dyDescent="0.15"/>
    <row r="9282" hidden="1" x14ac:dyDescent="0.15"/>
    <row r="9283" hidden="1" x14ac:dyDescent="0.15"/>
    <row r="9284" hidden="1" x14ac:dyDescent="0.15"/>
    <row r="9285" hidden="1" x14ac:dyDescent="0.15"/>
    <row r="9286" hidden="1" x14ac:dyDescent="0.15"/>
    <row r="9287" hidden="1" x14ac:dyDescent="0.15"/>
    <row r="9288" hidden="1" x14ac:dyDescent="0.15"/>
    <row r="9289" hidden="1" x14ac:dyDescent="0.15"/>
    <row r="9290" hidden="1" x14ac:dyDescent="0.15"/>
    <row r="9291" hidden="1" x14ac:dyDescent="0.15"/>
    <row r="9292" hidden="1" x14ac:dyDescent="0.15"/>
    <row r="9293" hidden="1" x14ac:dyDescent="0.15"/>
    <row r="9294" hidden="1" x14ac:dyDescent="0.15"/>
    <row r="9295" hidden="1" x14ac:dyDescent="0.15"/>
    <row r="9296" hidden="1" x14ac:dyDescent="0.15"/>
    <row r="9297" hidden="1" x14ac:dyDescent="0.15"/>
    <row r="9298" hidden="1" x14ac:dyDescent="0.15"/>
    <row r="9299" hidden="1" x14ac:dyDescent="0.15"/>
    <row r="9300" hidden="1" x14ac:dyDescent="0.15"/>
    <row r="9301" hidden="1" x14ac:dyDescent="0.15"/>
    <row r="9302" hidden="1" x14ac:dyDescent="0.15"/>
    <row r="9303" hidden="1" x14ac:dyDescent="0.15"/>
    <row r="9304" hidden="1" x14ac:dyDescent="0.15"/>
    <row r="9305" hidden="1" x14ac:dyDescent="0.15"/>
    <row r="9306" hidden="1" x14ac:dyDescent="0.15"/>
    <row r="9307" hidden="1" x14ac:dyDescent="0.15"/>
    <row r="9308" hidden="1" x14ac:dyDescent="0.15"/>
    <row r="9309" hidden="1" x14ac:dyDescent="0.15"/>
    <row r="9310" hidden="1" x14ac:dyDescent="0.15"/>
    <row r="9311" hidden="1" x14ac:dyDescent="0.15"/>
    <row r="9312" hidden="1" x14ac:dyDescent="0.15"/>
    <row r="9313" hidden="1" x14ac:dyDescent="0.15"/>
    <row r="9314" hidden="1" x14ac:dyDescent="0.15"/>
    <row r="9315" hidden="1" x14ac:dyDescent="0.15"/>
    <row r="9316" hidden="1" x14ac:dyDescent="0.15"/>
    <row r="9317" hidden="1" x14ac:dyDescent="0.15"/>
    <row r="9318" hidden="1" x14ac:dyDescent="0.15"/>
    <row r="9319" hidden="1" x14ac:dyDescent="0.15"/>
    <row r="9320" hidden="1" x14ac:dyDescent="0.15"/>
    <row r="9321" hidden="1" x14ac:dyDescent="0.15"/>
    <row r="9322" hidden="1" x14ac:dyDescent="0.15"/>
    <row r="9323" hidden="1" x14ac:dyDescent="0.15"/>
    <row r="9324" hidden="1" x14ac:dyDescent="0.15"/>
    <row r="9325" hidden="1" x14ac:dyDescent="0.15"/>
    <row r="9326" hidden="1" x14ac:dyDescent="0.15"/>
    <row r="9327" hidden="1" x14ac:dyDescent="0.15"/>
    <row r="9328" hidden="1" x14ac:dyDescent="0.15"/>
    <row r="9329" hidden="1" x14ac:dyDescent="0.15"/>
    <row r="9330" hidden="1" x14ac:dyDescent="0.15"/>
    <row r="9331" hidden="1" x14ac:dyDescent="0.15"/>
    <row r="9332" hidden="1" x14ac:dyDescent="0.15"/>
    <row r="9333" hidden="1" x14ac:dyDescent="0.15"/>
    <row r="9334" hidden="1" x14ac:dyDescent="0.15"/>
    <row r="9335" hidden="1" x14ac:dyDescent="0.15"/>
    <row r="9336" hidden="1" x14ac:dyDescent="0.15"/>
    <row r="9337" hidden="1" x14ac:dyDescent="0.15"/>
    <row r="9338" hidden="1" x14ac:dyDescent="0.15"/>
    <row r="9339" hidden="1" x14ac:dyDescent="0.15"/>
    <row r="9340" hidden="1" x14ac:dyDescent="0.15"/>
    <row r="9341" hidden="1" x14ac:dyDescent="0.15"/>
    <row r="9342" hidden="1" x14ac:dyDescent="0.15"/>
    <row r="9343" hidden="1" x14ac:dyDescent="0.15"/>
    <row r="9344" hidden="1" x14ac:dyDescent="0.15"/>
    <row r="9345" hidden="1" x14ac:dyDescent="0.15"/>
    <row r="9346" hidden="1" x14ac:dyDescent="0.15"/>
    <row r="9347" hidden="1" x14ac:dyDescent="0.15"/>
    <row r="9348" hidden="1" x14ac:dyDescent="0.15"/>
    <row r="9349" hidden="1" x14ac:dyDescent="0.15"/>
    <row r="9350" hidden="1" x14ac:dyDescent="0.15"/>
    <row r="9351" hidden="1" x14ac:dyDescent="0.15"/>
    <row r="9352" hidden="1" x14ac:dyDescent="0.15"/>
    <row r="9353" hidden="1" x14ac:dyDescent="0.15"/>
    <row r="9354" hidden="1" x14ac:dyDescent="0.15"/>
    <row r="9355" hidden="1" x14ac:dyDescent="0.15"/>
    <row r="9356" hidden="1" x14ac:dyDescent="0.15"/>
    <row r="9357" hidden="1" x14ac:dyDescent="0.15"/>
    <row r="9358" hidden="1" x14ac:dyDescent="0.15"/>
    <row r="9359" hidden="1" x14ac:dyDescent="0.15"/>
    <row r="9360" hidden="1" x14ac:dyDescent="0.15"/>
    <row r="9361" hidden="1" x14ac:dyDescent="0.15"/>
    <row r="9362" hidden="1" x14ac:dyDescent="0.15"/>
    <row r="9363" hidden="1" x14ac:dyDescent="0.15"/>
    <row r="9364" hidden="1" x14ac:dyDescent="0.15"/>
    <row r="9365" hidden="1" x14ac:dyDescent="0.15"/>
    <row r="9366" hidden="1" x14ac:dyDescent="0.15"/>
    <row r="9367" hidden="1" x14ac:dyDescent="0.15"/>
    <row r="9368" hidden="1" x14ac:dyDescent="0.15"/>
    <row r="9369" hidden="1" x14ac:dyDescent="0.15"/>
    <row r="9370" hidden="1" x14ac:dyDescent="0.15"/>
    <row r="9371" hidden="1" x14ac:dyDescent="0.15"/>
    <row r="9372" hidden="1" x14ac:dyDescent="0.15"/>
    <row r="9373" hidden="1" x14ac:dyDescent="0.15"/>
    <row r="9374" hidden="1" x14ac:dyDescent="0.15"/>
    <row r="9375" hidden="1" x14ac:dyDescent="0.15"/>
    <row r="9376" hidden="1" x14ac:dyDescent="0.15"/>
    <row r="9377" hidden="1" x14ac:dyDescent="0.15"/>
    <row r="9378" hidden="1" x14ac:dyDescent="0.15"/>
    <row r="9379" hidden="1" x14ac:dyDescent="0.15"/>
    <row r="9380" hidden="1" x14ac:dyDescent="0.15"/>
    <row r="9381" hidden="1" x14ac:dyDescent="0.15"/>
    <row r="9382" hidden="1" x14ac:dyDescent="0.15"/>
    <row r="9383" hidden="1" x14ac:dyDescent="0.15"/>
    <row r="9384" hidden="1" x14ac:dyDescent="0.15"/>
    <row r="9385" hidden="1" x14ac:dyDescent="0.15"/>
    <row r="9386" hidden="1" x14ac:dyDescent="0.15"/>
    <row r="9387" hidden="1" x14ac:dyDescent="0.15"/>
    <row r="9388" hidden="1" x14ac:dyDescent="0.15"/>
    <row r="9389" hidden="1" x14ac:dyDescent="0.15"/>
    <row r="9390" hidden="1" x14ac:dyDescent="0.15"/>
    <row r="9391" hidden="1" x14ac:dyDescent="0.15"/>
    <row r="9392" hidden="1" x14ac:dyDescent="0.15"/>
    <row r="9393" hidden="1" x14ac:dyDescent="0.15"/>
    <row r="9394" hidden="1" x14ac:dyDescent="0.15"/>
    <row r="9395" hidden="1" x14ac:dyDescent="0.15"/>
    <row r="9396" hidden="1" x14ac:dyDescent="0.15"/>
    <row r="9397" hidden="1" x14ac:dyDescent="0.15"/>
    <row r="9398" hidden="1" x14ac:dyDescent="0.15"/>
    <row r="9399" hidden="1" x14ac:dyDescent="0.15"/>
    <row r="9400" hidden="1" x14ac:dyDescent="0.15"/>
    <row r="9401" hidden="1" x14ac:dyDescent="0.15"/>
    <row r="9402" hidden="1" x14ac:dyDescent="0.15"/>
    <row r="9403" hidden="1" x14ac:dyDescent="0.15"/>
    <row r="9404" hidden="1" x14ac:dyDescent="0.15"/>
    <row r="9405" hidden="1" x14ac:dyDescent="0.15"/>
    <row r="9406" hidden="1" x14ac:dyDescent="0.15"/>
    <row r="9407" hidden="1" x14ac:dyDescent="0.15"/>
    <row r="9408" hidden="1" x14ac:dyDescent="0.15"/>
    <row r="9409" hidden="1" x14ac:dyDescent="0.15"/>
    <row r="9410" hidden="1" x14ac:dyDescent="0.15"/>
    <row r="9411" hidden="1" x14ac:dyDescent="0.15"/>
    <row r="9412" hidden="1" x14ac:dyDescent="0.15"/>
    <row r="9413" hidden="1" x14ac:dyDescent="0.15"/>
    <row r="9414" hidden="1" x14ac:dyDescent="0.15"/>
    <row r="9415" hidden="1" x14ac:dyDescent="0.15"/>
    <row r="9416" hidden="1" x14ac:dyDescent="0.15"/>
    <row r="9417" hidden="1" x14ac:dyDescent="0.15"/>
    <row r="9418" hidden="1" x14ac:dyDescent="0.15"/>
    <row r="9419" hidden="1" x14ac:dyDescent="0.15"/>
    <row r="9420" hidden="1" x14ac:dyDescent="0.15"/>
    <row r="9421" hidden="1" x14ac:dyDescent="0.15"/>
    <row r="9422" hidden="1" x14ac:dyDescent="0.15"/>
    <row r="9423" hidden="1" x14ac:dyDescent="0.15"/>
    <row r="9424" hidden="1" x14ac:dyDescent="0.15"/>
    <row r="9425" hidden="1" x14ac:dyDescent="0.15"/>
    <row r="9426" hidden="1" x14ac:dyDescent="0.15"/>
    <row r="9427" hidden="1" x14ac:dyDescent="0.15"/>
    <row r="9428" hidden="1" x14ac:dyDescent="0.15"/>
    <row r="9429" hidden="1" x14ac:dyDescent="0.15"/>
    <row r="9430" hidden="1" x14ac:dyDescent="0.15"/>
    <row r="9431" hidden="1" x14ac:dyDescent="0.15"/>
    <row r="9432" hidden="1" x14ac:dyDescent="0.15"/>
    <row r="9433" hidden="1" x14ac:dyDescent="0.15"/>
    <row r="9434" hidden="1" x14ac:dyDescent="0.15"/>
    <row r="9435" hidden="1" x14ac:dyDescent="0.15"/>
    <row r="9436" hidden="1" x14ac:dyDescent="0.15"/>
    <row r="9437" hidden="1" x14ac:dyDescent="0.15"/>
    <row r="9438" hidden="1" x14ac:dyDescent="0.15"/>
    <row r="9439" hidden="1" x14ac:dyDescent="0.15"/>
    <row r="9440" hidden="1" x14ac:dyDescent="0.15"/>
    <row r="9441" hidden="1" x14ac:dyDescent="0.15"/>
    <row r="9442" hidden="1" x14ac:dyDescent="0.15"/>
    <row r="9443" hidden="1" x14ac:dyDescent="0.15"/>
    <row r="9444" hidden="1" x14ac:dyDescent="0.15"/>
    <row r="9445" hidden="1" x14ac:dyDescent="0.15"/>
    <row r="9446" hidden="1" x14ac:dyDescent="0.15"/>
    <row r="9447" hidden="1" x14ac:dyDescent="0.15"/>
    <row r="9448" hidden="1" x14ac:dyDescent="0.15"/>
    <row r="9449" hidden="1" x14ac:dyDescent="0.15"/>
    <row r="9450" hidden="1" x14ac:dyDescent="0.15"/>
    <row r="9451" hidden="1" x14ac:dyDescent="0.15"/>
    <row r="9452" hidden="1" x14ac:dyDescent="0.15"/>
    <row r="9453" hidden="1" x14ac:dyDescent="0.15"/>
    <row r="9454" hidden="1" x14ac:dyDescent="0.15"/>
    <row r="9455" hidden="1" x14ac:dyDescent="0.15"/>
    <row r="9456" hidden="1" x14ac:dyDescent="0.15"/>
    <row r="9457" hidden="1" x14ac:dyDescent="0.15"/>
    <row r="9458" hidden="1" x14ac:dyDescent="0.15"/>
    <row r="9459" hidden="1" x14ac:dyDescent="0.15"/>
    <row r="9460" hidden="1" x14ac:dyDescent="0.15"/>
    <row r="9461" hidden="1" x14ac:dyDescent="0.15"/>
    <row r="9462" hidden="1" x14ac:dyDescent="0.15"/>
    <row r="9463" hidden="1" x14ac:dyDescent="0.15"/>
    <row r="9464" hidden="1" x14ac:dyDescent="0.15"/>
    <row r="9465" hidden="1" x14ac:dyDescent="0.15"/>
    <row r="9466" hidden="1" x14ac:dyDescent="0.15"/>
    <row r="9467" hidden="1" x14ac:dyDescent="0.15"/>
    <row r="9468" hidden="1" x14ac:dyDescent="0.15"/>
    <row r="9469" hidden="1" x14ac:dyDescent="0.15"/>
    <row r="9470" hidden="1" x14ac:dyDescent="0.15"/>
    <row r="9471" hidden="1" x14ac:dyDescent="0.15"/>
    <row r="9472" hidden="1" x14ac:dyDescent="0.15"/>
    <row r="9473" hidden="1" x14ac:dyDescent="0.15"/>
    <row r="9474" hidden="1" x14ac:dyDescent="0.15"/>
    <row r="9475" hidden="1" x14ac:dyDescent="0.15"/>
    <row r="9476" hidden="1" x14ac:dyDescent="0.15"/>
    <row r="9477" hidden="1" x14ac:dyDescent="0.15"/>
    <row r="9478" hidden="1" x14ac:dyDescent="0.15"/>
    <row r="9479" hidden="1" x14ac:dyDescent="0.15"/>
    <row r="9480" hidden="1" x14ac:dyDescent="0.15"/>
    <row r="9481" hidden="1" x14ac:dyDescent="0.15"/>
    <row r="9482" hidden="1" x14ac:dyDescent="0.15"/>
    <row r="9483" hidden="1" x14ac:dyDescent="0.15"/>
    <row r="9484" hidden="1" x14ac:dyDescent="0.15"/>
    <row r="9485" hidden="1" x14ac:dyDescent="0.15"/>
    <row r="9486" hidden="1" x14ac:dyDescent="0.15"/>
    <row r="9487" hidden="1" x14ac:dyDescent="0.15"/>
    <row r="9488" hidden="1" x14ac:dyDescent="0.15"/>
    <row r="9489" hidden="1" x14ac:dyDescent="0.15"/>
    <row r="9490" hidden="1" x14ac:dyDescent="0.15"/>
    <row r="9491" hidden="1" x14ac:dyDescent="0.15"/>
    <row r="9492" hidden="1" x14ac:dyDescent="0.15"/>
    <row r="9493" hidden="1" x14ac:dyDescent="0.15"/>
    <row r="9494" hidden="1" x14ac:dyDescent="0.15"/>
    <row r="9495" hidden="1" x14ac:dyDescent="0.15"/>
    <row r="9496" hidden="1" x14ac:dyDescent="0.15"/>
    <row r="9497" hidden="1" x14ac:dyDescent="0.15"/>
    <row r="9498" hidden="1" x14ac:dyDescent="0.15"/>
    <row r="9499" hidden="1" x14ac:dyDescent="0.15"/>
    <row r="9500" hidden="1" x14ac:dyDescent="0.15"/>
    <row r="9501" hidden="1" x14ac:dyDescent="0.15"/>
    <row r="9502" hidden="1" x14ac:dyDescent="0.15"/>
    <row r="9503" hidden="1" x14ac:dyDescent="0.15"/>
    <row r="9504" hidden="1" x14ac:dyDescent="0.15"/>
    <row r="9505" hidden="1" x14ac:dyDescent="0.15"/>
    <row r="9506" hidden="1" x14ac:dyDescent="0.15"/>
    <row r="9507" hidden="1" x14ac:dyDescent="0.15"/>
    <row r="9508" hidden="1" x14ac:dyDescent="0.15"/>
    <row r="9509" hidden="1" x14ac:dyDescent="0.15"/>
    <row r="9510" hidden="1" x14ac:dyDescent="0.15"/>
    <row r="9511" hidden="1" x14ac:dyDescent="0.15"/>
    <row r="9512" hidden="1" x14ac:dyDescent="0.15"/>
    <row r="9513" hidden="1" x14ac:dyDescent="0.15"/>
    <row r="9514" hidden="1" x14ac:dyDescent="0.15"/>
    <row r="9515" hidden="1" x14ac:dyDescent="0.15"/>
    <row r="9516" hidden="1" x14ac:dyDescent="0.15"/>
    <row r="9517" hidden="1" x14ac:dyDescent="0.15"/>
    <row r="9518" hidden="1" x14ac:dyDescent="0.15"/>
    <row r="9519" hidden="1" x14ac:dyDescent="0.15"/>
    <row r="9520" hidden="1" x14ac:dyDescent="0.15"/>
    <row r="9521" hidden="1" x14ac:dyDescent="0.15"/>
    <row r="9522" hidden="1" x14ac:dyDescent="0.15"/>
    <row r="9523" hidden="1" x14ac:dyDescent="0.15"/>
    <row r="9524" hidden="1" x14ac:dyDescent="0.15"/>
    <row r="9525" hidden="1" x14ac:dyDescent="0.15"/>
    <row r="9526" hidden="1" x14ac:dyDescent="0.15"/>
    <row r="9527" hidden="1" x14ac:dyDescent="0.15"/>
    <row r="9528" hidden="1" x14ac:dyDescent="0.15"/>
    <row r="9529" hidden="1" x14ac:dyDescent="0.15"/>
    <row r="9530" hidden="1" x14ac:dyDescent="0.15"/>
    <row r="9531" hidden="1" x14ac:dyDescent="0.15"/>
    <row r="9532" hidden="1" x14ac:dyDescent="0.15"/>
    <row r="9533" hidden="1" x14ac:dyDescent="0.15"/>
    <row r="9534" hidden="1" x14ac:dyDescent="0.15"/>
    <row r="9535" hidden="1" x14ac:dyDescent="0.15"/>
    <row r="9536" hidden="1" x14ac:dyDescent="0.15"/>
    <row r="9537" hidden="1" x14ac:dyDescent="0.15"/>
    <row r="9538" hidden="1" x14ac:dyDescent="0.15"/>
    <row r="9539" hidden="1" x14ac:dyDescent="0.15"/>
    <row r="9540" hidden="1" x14ac:dyDescent="0.15"/>
    <row r="9541" hidden="1" x14ac:dyDescent="0.15"/>
    <row r="9542" hidden="1" x14ac:dyDescent="0.15"/>
    <row r="9543" hidden="1" x14ac:dyDescent="0.15"/>
    <row r="9544" hidden="1" x14ac:dyDescent="0.15"/>
    <row r="9545" hidden="1" x14ac:dyDescent="0.15"/>
    <row r="9546" hidden="1" x14ac:dyDescent="0.15"/>
    <row r="9547" hidden="1" x14ac:dyDescent="0.15"/>
    <row r="9548" hidden="1" x14ac:dyDescent="0.15"/>
    <row r="9549" hidden="1" x14ac:dyDescent="0.15"/>
    <row r="9550" hidden="1" x14ac:dyDescent="0.15"/>
    <row r="9551" hidden="1" x14ac:dyDescent="0.15"/>
    <row r="9552" hidden="1" x14ac:dyDescent="0.15"/>
    <row r="9553" hidden="1" x14ac:dyDescent="0.15"/>
    <row r="9554" hidden="1" x14ac:dyDescent="0.15"/>
    <row r="9555" hidden="1" x14ac:dyDescent="0.15"/>
    <row r="9556" hidden="1" x14ac:dyDescent="0.15"/>
    <row r="9557" hidden="1" x14ac:dyDescent="0.15"/>
    <row r="9558" hidden="1" x14ac:dyDescent="0.15"/>
    <row r="9559" hidden="1" x14ac:dyDescent="0.15"/>
    <row r="9560" hidden="1" x14ac:dyDescent="0.15"/>
    <row r="9561" hidden="1" x14ac:dyDescent="0.15"/>
    <row r="9562" hidden="1" x14ac:dyDescent="0.15"/>
    <row r="9563" hidden="1" x14ac:dyDescent="0.15"/>
    <row r="9564" hidden="1" x14ac:dyDescent="0.15"/>
    <row r="9565" hidden="1" x14ac:dyDescent="0.15"/>
    <row r="9566" hidden="1" x14ac:dyDescent="0.15"/>
    <row r="9567" hidden="1" x14ac:dyDescent="0.15"/>
    <row r="9568" hidden="1" x14ac:dyDescent="0.15"/>
    <row r="9569" hidden="1" x14ac:dyDescent="0.15"/>
    <row r="9570" hidden="1" x14ac:dyDescent="0.15"/>
    <row r="9571" hidden="1" x14ac:dyDescent="0.15"/>
    <row r="9572" hidden="1" x14ac:dyDescent="0.15"/>
    <row r="9573" hidden="1" x14ac:dyDescent="0.15"/>
    <row r="9574" hidden="1" x14ac:dyDescent="0.15"/>
    <row r="9575" hidden="1" x14ac:dyDescent="0.15"/>
    <row r="9576" hidden="1" x14ac:dyDescent="0.15"/>
    <row r="9577" hidden="1" x14ac:dyDescent="0.15"/>
    <row r="9578" hidden="1" x14ac:dyDescent="0.15"/>
    <row r="9579" hidden="1" x14ac:dyDescent="0.15"/>
    <row r="9580" hidden="1" x14ac:dyDescent="0.15"/>
    <row r="9581" hidden="1" x14ac:dyDescent="0.15"/>
    <row r="9582" hidden="1" x14ac:dyDescent="0.15"/>
    <row r="9583" hidden="1" x14ac:dyDescent="0.15"/>
    <row r="9584" hidden="1" x14ac:dyDescent="0.15"/>
    <row r="9585" hidden="1" x14ac:dyDescent="0.15"/>
    <row r="9586" hidden="1" x14ac:dyDescent="0.15"/>
    <row r="9587" hidden="1" x14ac:dyDescent="0.15"/>
    <row r="9588" hidden="1" x14ac:dyDescent="0.15"/>
    <row r="9589" hidden="1" x14ac:dyDescent="0.15"/>
    <row r="9590" hidden="1" x14ac:dyDescent="0.15"/>
    <row r="9591" hidden="1" x14ac:dyDescent="0.15"/>
    <row r="9592" hidden="1" x14ac:dyDescent="0.15"/>
    <row r="9593" hidden="1" x14ac:dyDescent="0.15"/>
    <row r="9594" hidden="1" x14ac:dyDescent="0.15"/>
    <row r="9595" hidden="1" x14ac:dyDescent="0.15"/>
    <row r="9596" hidden="1" x14ac:dyDescent="0.15"/>
    <row r="9597" hidden="1" x14ac:dyDescent="0.15"/>
    <row r="9598" hidden="1" x14ac:dyDescent="0.15"/>
    <row r="9599" hidden="1" x14ac:dyDescent="0.15"/>
    <row r="9600" hidden="1" x14ac:dyDescent="0.15"/>
    <row r="9601" hidden="1" x14ac:dyDescent="0.15"/>
    <row r="9602" hidden="1" x14ac:dyDescent="0.15"/>
    <row r="9603" hidden="1" x14ac:dyDescent="0.15"/>
    <row r="9604" hidden="1" x14ac:dyDescent="0.15"/>
    <row r="9605" hidden="1" x14ac:dyDescent="0.15"/>
    <row r="9606" hidden="1" x14ac:dyDescent="0.15"/>
    <row r="9607" hidden="1" x14ac:dyDescent="0.15"/>
    <row r="9608" hidden="1" x14ac:dyDescent="0.15"/>
    <row r="9609" hidden="1" x14ac:dyDescent="0.15"/>
    <row r="9610" hidden="1" x14ac:dyDescent="0.15"/>
    <row r="9611" hidden="1" x14ac:dyDescent="0.15"/>
    <row r="9612" hidden="1" x14ac:dyDescent="0.15"/>
    <row r="9613" hidden="1" x14ac:dyDescent="0.15"/>
    <row r="9614" hidden="1" x14ac:dyDescent="0.15"/>
    <row r="9615" hidden="1" x14ac:dyDescent="0.15"/>
    <row r="9616" hidden="1" x14ac:dyDescent="0.15"/>
    <row r="9617" hidden="1" x14ac:dyDescent="0.15"/>
    <row r="9618" hidden="1" x14ac:dyDescent="0.15"/>
    <row r="9619" hidden="1" x14ac:dyDescent="0.15"/>
    <row r="9620" hidden="1" x14ac:dyDescent="0.15"/>
    <row r="9621" hidden="1" x14ac:dyDescent="0.15"/>
    <row r="9622" hidden="1" x14ac:dyDescent="0.15"/>
    <row r="9623" hidden="1" x14ac:dyDescent="0.15"/>
    <row r="9624" hidden="1" x14ac:dyDescent="0.15"/>
    <row r="9625" hidden="1" x14ac:dyDescent="0.15"/>
    <row r="9626" hidden="1" x14ac:dyDescent="0.15"/>
    <row r="9627" hidden="1" x14ac:dyDescent="0.15"/>
    <row r="9628" hidden="1" x14ac:dyDescent="0.15"/>
    <row r="9629" hidden="1" x14ac:dyDescent="0.15"/>
    <row r="9630" hidden="1" x14ac:dyDescent="0.15"/>
    <row r="9631" hidden="1" x14ac:dyDescent="0.15"/>
    <row r="9632" hidden="1" x14ac:dyDescent="0.15"/>
    <row r="9633" hidden="1" x14ac:dyDescent="0.15"/>
    <row r="9634" hidden="1" x14ac:dyDescent="0.15"/>
    <row r="9635" hidden="1" x14ac:dyDescent="0.15"/>
    <row r="9636" hidden="1" x14ac:dyDescent="0.15"/>
    <row r="9637" hidden="1" x14ac:dyDescent="0.15"/>
    <row r="9638" hidden="1" x14ac:dyDescent="0.15"/>
    <row r="9639" hidden="1" x14ac:dyDescent="0.15"/>
    <row r="9640" hidden="1" x14ac:dyDescent="0.15"/>
    <row r="9641" hidden="1" x14ac:dyDescent="0.15"/>
    <row r="9642" hidden="1" x14ac:dyDescent="0.15"/>
    <row r="9643" hidden="1" x14ac:dyDescent="0.15"/>
    <row r="9644" hidden="1" x14ac:dyDescent="0.15"/>
    <row r="9645" hidden="1" x14ac:dyDescent="0.15"/>
    <row r="9646" hidden="1" x14ac:dyDescent="0.15"/>
    <row r="9647" hidden="1" x14ac:dyDescent="0.15"/>
    <row r="9648" hidden="1" x14ac:dyDescent="0.15"/>
    <row r="9649" hidden="1" x14ac:dyDescent="0.15"/>
    <row r="9650" hidden="1" x14ac:dyDescent="0.15"/>
    <row r="9651" hidden="1" x14ac:dyDescent="0.15"/>
    <row r="9652" hidden="1" x14ac:dyDescent="0.15"/>
    <row r="9653" hidden="1" x14ac:dyDescent="0.15"/>
    <row r="9654" hidden="1" x14ac:dyDescent="0.15"/>
    <row r="9655" hidden="1" x14ac:dyDescent="0.15"/>
    <row r="9656" hidden="1" x14ac:dyDescent="0.15"/>
    <row r="9657" hidden="1" x14ac:dyDescent="0.15"/>
    <row r="9658" hidden="1" x14ac:dyDescent="0.15"/>
    <row r="9659" hidden="1" x14ac:dyDescent="0.15"/>
    <row r="9660" hidden="1" x14ac:dyDescent="0.15"/>
    <row r="9661" hidden="1" x14ac:dyDescent="0.15"/>
    <row r="9662" hidden="1" x14ac:dyDescent="0.15"/>
    <row r="9663" hidden="1" x14ac:dyDescent="0.15"/>
    <row r="9664" hidden="1" x14ac:dyDescent="0.15"/>
    <row r="9665" hidden="1" x14ac:dyDescent="0.15"/>
    <row r="9666" hidden="1" x14ac:dyDescent="0.15"/>
    <row r="9667" hidden="1" x14ac:dyDescent="0.15"/>
    <row r="9668" hidden="1" x14ac:dyDescent="0.15"/>
    <row r="9669" hidden="1" x14ac:dyDescent="0.15"/>
    <row r="9670" hidden="1" x14ac:dyDescent="0.15"/>
    <row r="9671" hidden="1" x14ac:dyDescent="0.15"/>
    <row r="9672" hidden="1" x14ac:dyDescent="0.15"/>
    <row r="9673" hidden="1" x14ac:dyDescent="0.15"/>
    <row r="9674" hidden="1" x14ac:dyDescent="0.15"/>
    <row r="9675" hidden="1" x14ac:dyDescent="0.15"/>
    <row r="9676" hidden="1" x14ac:dyDescent="0.15"/>
    <row r="9677" hidden="1" x14ac:dyDescent="0.15"/>
    <row r="9678" hidden="1" x14ac:dyDescent="0.15"/>
    <row r="9679" hidden="1" x14ac:dyDescent="0.15"/>
    <row r="9680" hidden="1" x14ac:dyDescent="0.15"/>
    <row r="9681" hidden="1" x14ac:dyDescent="0.15"/>
    <row r="9682" hidden="1" x14ac:dyDescent="0.15"/>
    <row r="9683" hidden="1" x14ac:dyDescent="0.15"/>
    <row r="9684" hidden="1" x14ac:dyDescent="0.15"/>
    <row r="9685" hidden="1" x14ac:dyDescent="0.15"/>
    <row r="9686" hidden="1" x14ac:dyDescent="0.15"/>
    <row r="9687" hidden="1" x14ac:dyDescent="0.15"/>
    <row r="9688" hidden="1" x14ac:dyDescent="0.15"/>
    <row r="9689" hidden="1" x14ac:dyDescent="0.15"/>
    <row r="9690" hidden="1" x14ac:dyDescent="0.15"/>
    <row r="9691" hidden="1" x14ac:dyDescent="0.15"/>
    <row r="9692" hidden="1" x14ac:dyDescent="0.15"/>
    <row r="9693" hidden="1" x14ac:dyDescent="0.15"/>
    <row r="9694" hidden="1" x14ac:dyDescent="0.15"/>
    <row r="9695" hidden="1" x14ac:dyDescent="0.15"/>
    <row r="9696" hidden="1" x14ac:dyDescent="0.15"/>
    <row r="9697" hidden="1" x14ac:dyDescent="0.15"/>
    <row r="9698" hidden="1" x14ac:dyDescent="0.15"/>
    <row r="9699" hidden="1" x14ac:dyDescent="0.15"/>
    <row r="9700" hidden="1" x14ac:dyDescent="0.15"/>
    <row r="9701" hidden="1" x14ac:dyDescent="0.15"/>
    <row r="9702" hidden="1" x14ac:dyDescent="0.15"/>
    <row r="9703" hidden="1" x14ac:dyDescent="0.15"/>
    <row r="9704" hidden="1" x14ac:dyDescent="0.15"/>
    <row r="9705" hidden="1" x14ac:dyDescent="0.15"/>
    <row r="9706" hidden="1" x14ac:dyDescent="0.15"/>
    <row r="9707" hidden="1" x14ac:dyDescent="0.15"/>
    <row r="9708" hidden="1" x14ac:dyDescent="0.15"/>
    <row r="9709" hidden="1" x14ac:dyDescent="0.15"/>
    <row r="9710" hidden="1" x14ac:dyDescent="0.15"/>
    <row r="9711" hidden="1" x14ac:dyDescent="0.15"/>
    <row r="9712" hidden="1" x14ac:dyDescent="0.15"/>
    <row r="9713" hidden="1" x14ac:dyDescent="0.15"/>
    <row r="9714" hidden="1" x14ac:dyDescent="0.15"/>
    <row r="9715" hidden="1" x14ac:dyDescent="0.15"/>
    <row r="9716" hidden="1" x14ac:dyDescent="0.15"/>
    <row r="9717" hidden="1" x14ac:dyDescent="0.15"/>
    <row r="9718" hidden="1" x14ac:dyDescent="0.15"/>
    <row r="9719" hidden="1" x14ac:dyDescent="0.15"/>
    <row r="9720" hidden="1" x14ac:dyDescent="0.15"/>
    <row r="9721" hidden="1" x14ac:dyDescent="0.15"/>
    <row r="9722" hidden="1" x14ac:dyDescent="0.15"/>
    <row r="9723" hidden="1" x14ac:dyDescent="0.15"/>
    <row r="9724" hidden="1" x14ac:dyDescent="0.15"/>
    <row r="9725" hidden="1" x14ac:dyDescent="0.15"/>
    <row r="9726" hidden="1" x14ac:dyDescent="0.15"/>
    <row r="9727" hidden="1" x14ac:dyDescent="0.15"/>
    <row r="9728" hidden="1" x14ac:dyDescent="0.15"/>
    <row r="9729" hidden="1" x14ac:dyDescent="0.15"/>
    <row r="9730" hidden="1" x14ac:dyDescent="0.15"/>
    <row r="9731" hidden="1" x14ac:dyDescent="0.15"/>
    <row r="9732" hidden="1" x14ac:dyDescent="0.15"/>
    <row r="9733" hidden="1" x14ac:dyDescent="0.15"/>
    <row r="9734" hidden="1" x14ac:dyDescent="0.15"/>
    <row r="9735" hidden="1" x14ac:dyDescent="0.15"/>
    <row r="9736" hidden="1" x14ac:dyDescent="0.15"/>
    <row r="9737" hidden="1" x14ac:dyDescent="0.15"/>
    <row r="9738" hidden="1" x14ac:dyDescent="0.15"/>
    <row r="9739" hidden="1" x14ac:dyDescent="0.15"/>
    <row r="9740" hidden="1" x14ac:dyDescent="0.15"/>
    <row r="9741" hidden="1" x14ac:dyDescent="0.15"/>
    <row r="9742" hidden="1" x14ac:dyDescent="0.15"/>
    <row r="9743" hidden="1" x14ac:dyDescent="0.15"/>
    <row r="9744" hidden="1" x14ac:dyDescent="0.15"/>
    <row r="9745" hidden="1" x14ac:dyDescent="0.15"/>
    <row r="9746" hidden="1" x14ac:dyDescent="0.15"/>
    <row r="9747" hidden="1" x14ac:dyDescent="0.15"/>
    <row r="9748" hidden="1" x14ac:dyDescent="0.15"/>
    <row r="9749" hidden="1" x14ac:dyDescent="0.15"/>
    <row r="9750" hidden="1" x14ac:dyDescent="0.15"/>
    <row r="9751" hidden="1" x14ac:dyDescent="0.15"/>
    <row r="9752" hidden="1" x14ac:dyDescent="0.15"/>
    <row r="9753" hidden="1" x14ac:dyDescent="0.15"/>
    <row r="9754" hidden="1" x14ac:dyDescent="0.15"/>
    <row r="9755" hidden="1" x14ac:dyDescent="0.15"/>
    <row r="9756" hidden="1" x14ac:dyDescent="0.15"/>
    <row r="9757" hidden="1" x14ac:dyDescent="0.15"/>
    <row r="9758" hidden="1" x14ac:dyDescent="0.15"/>
    <row r="9759" hidden="1" x14ac:dyDescent="0.15"/>
    <row r="9760" hidden="1" x14ac:dyDescent="0.15"/>
    <row r="9761" hidden="1" x14ac:dyDescent="0.15"/>
    <row r="9762" hidden="1" x14ac:dyDescent="0.15"/>
    <row r="9763" hidden="1" x14ac:dyDescent="0.15"/>
    <row r="9764" hidden="1" x14ac:dyDescent="0.15"/>
    <row r="9765" hidden="1" x14ac:dyDescent="0.15"/>
    <row r="9766" hidden="1" x14ac:dyDescent="0.15"/>
    <row r="9767" hidden="1" x14ac:dyDescent="0.15"/>
    <row r="9768" hidden="1" x14ac:dyDescent="0.15"/>
    <row r="9769" hidden="1" x14ac:dyDescent="0.15"/>
    <row r="9770" hidden="1" x14ac:dyDescent="0.15"/>
    <row r="9771" hidden="1" x14ac:dyDescent="0.15"/>
    <row r="9772" hidden="1" x14ac:dyDescent="0.15"/>
    <row r="9773" hidden="1" x14ac:dyDescent="0.15"/>
    <row r="9774" hidden="1" x14ac:dyDescent="0.15"/>
    <row r="9775" hidden="1" x14ac:dyDescent="0.15"/>
    <row r="9776" hidden="1" x14ac:dyDescent="0.15"/>
    <row r="9777" hidden="1" x14ac:dyDescent="0.15"/>
    <row r="9778" hidden="1" x14ac:dyDescent="0.15"/>
    <row r="9779" hidden="1" x14ac:dyDescent="0.15"/>
    <row r="9780" hidden="1" x14ac:dyDescent="0.15"/>
    <row r="9781" hidden="1" x14ac:dyDescent="0.15"/>
    <row r="9782" hidden="1" x14ac:dyDescent="0.15"/>
    <row r="9783" hidden="1" x14ac:dyDescent="0.15"/>
    <row r="9784" hidden="1" x14ac:dyDescent="0.15"/>
    <row r="9785" hidden="1" x14ac:dyDescent="0.15"/>
    <row r="9786" hidden="1" x14ac:dyDescent="0.15"/>
    <row r="9787" hidden="1" x14ac:dyDescent="0.15"/>
    <row r="9788" hidden="1" x14ac:dyDescent="0.15"/>
    <row r="9789" hidden="1" x14ac:dyDescent="0.15"/>
    <row r="9790" hidden="1" x14ac:dyDescent="0.15"/>
    <row r="9791" hidden="1" x14ac:dyDescent="0.15"/>
    <row r="9792" hidden="1" x14ac:dyDescent="0.15"/>
    <row r="9793" hidden="1" x14ac:dyDescent="0.15"/>
    <row r="9794" hidden="1" x14ac:dyDescent="0.15"/>
    <row r="9795" hidden="1" x14ac:dyDescent="0.15"/>
    <row r="9796" hidden="1" x14ac:dyDescent="0.15"/>
    <row r="9797" hidden="1" x14ac:dyDescent="0.15"/>
    <row r="9798" hidden="1" x14ac:dyDescent="0.15"/>
    <row r="9799" hidden="1" x14ac:dyDescent="0.15"/>
    <row r="9800" hidden="1" x14ac:dyDescent="0.15"/>
    <row r="9801" hidden="1" x14ac:dyDescent="0.15"/>
    <row r="9802" hidden="1" x14ac:dyDescent="0.15"/>
    <row r="9803" hidden="1" x14ac:dyDescent="0.15"/>
    <row r="9804" hidden="1" x14ac:dyDescent="0.15"/>
    <row r="9805" hidden="1" x14ac:dyDescent="0.15"/>
    <row r="9806" hidden="1" x14ac:dyDescent="0.15"/>
    <row r="9807" hidden="1" x14ac:dyDescent="0.15"/>
    <row r="9808" hidden="1" x14ac:dyDescent="0.15"/>
    <row r="9809" hidden="1" x14ac:dyDescent="0.15"/>
    <row r="9810" hidden="1" x14ac:dyDescent="0.15"/>
    <row r="9811" hidden="1" x14ac:dyDescent="0.15"/>
    <row r="9812" hidden="1" x14ac:dyDescent="0.15"/>
    <row r="9813" hidden="1" x14ac:dyDescent="0.15"/>
    <row r="9814" hidden="1" x14ac:dyDescent="0.15"/>
    <row r="9815" hidden="1" x14ac:dyDescent="0.15"/>
    <row r="9816" hidden="1" x14ac:dyDescent="0.15"/>
    <row r="9817" hidden="1" x14ac:dyDescent="0.15"/>
    <row r="9818" hidden="1" x14ac:dyDescent="0.15"/>
    <row r="9819" hidden="1" x14ac:dyDescent="0.15"/>
    <row r="9820" hidden="1" x14ac:dyDescent="0.15"/>
    <row r="9821" hidden="1" x14ac:dyDescent="0.15"/>
    <row r="9822" hidden="1" x14ac:dyDescent="0.15"/>
    <row r="9823" hidden="1" x14ac:dyDescent="0.15"/>
    <row r="9824" hidden="1" x14ac:dyDescent="0.15"/>
    <row r="9825" hidden="1" x14ac:dyDescent="0.15"/>
    <row r="9826" hidden="1" x14ac:dyDescent="0.15"/>
    <row r="9827" hidden="1" x14ac:dyDescent="0.15"/>
    <row r="9828" hidden="1" x14ac:dyDescent="0.15"/>
    <row r="9829" hidden="1" x14ac:dyDescent="0.15"/>
    <row r="9830" hidden="1" x14ac:dyDescent="0.15"/>
    <row r="9831" hidden="1" x14ac:dyDescent="0.15"/>
    <row r="9832" hidden="1" x14ac:dyDescent="0.15"/>
    <row r="9833" hidden="1" x14ac:dyDescent="0.15"/>
    <row r="9834" hidden="1" x14ac:dyDescent="0.15"/>
    <row r="9835" hidden="1" x14ac:dyDescent="0.15"/>
    <row r="9836" hidden="1" x14ac:dyDescent="0.15"/>
    <row r="9837" hidden="1" x14ac:dyDescent="0.15"/>
    <row r="9838" hidden="1" x14ac:dyDescent="0.15"/>
    <row r="9839" hidden="1" x14ac:dyDescent="0.15"/>
    <row r="9840" hidden="1" x14ac:dyDescent="0.15"/>
    <row r="9841" hidden="1" x14ac:dyDescent="0.15"/>
    <row r="9842" hidden="1" x14ac:dyDescent="0.15"/>
    <row r="9843" hidden="1" x14ac:dyDescent="0.15"/>
    <row r="9844" hidden="1" x14ac:dyDescent="0.15"/>
    <row r="9845" hidden="1" x14ac:dyDescent="0.15"/>
    <row r="9846" hidden="1" x14ac:dyDescent="0.15"/>
    <row r="9847" hidden="1" x14ac:dyDescent="0.15"/>
    <row r="9848" hidden="1" x14ac:dyDescent="0.15"/>
    <row r="9849" hidden="1" x14ac:dyDescent="0.15"/>
    <row r="9850" hidden="1" x14ac:dyDescent="0.15"/>
    <row r="9851" hidden="1" x14ac:dyDescent="0.15"/>
    <row r="9852" hidden="1" x14ac:dyDescent="0.15"/>
    <row r="9853" hidden="1" x14ac:dyDescent="0.15"/>
    <row r="9854" hidden="1" x14ac:dyDescent="0.15"/>
    <row r="9855" hidden="1" x14ac:dyDescent="0.15"/>
    <row r="9856" hidden="1" x14ac:dyDescent="0.15"/>
    <row r="9857" hidden="1" x14ac:dyDescent="0.15"/>
    <row r="9858" hidden="1" x14ac:dyDescent="0.15"/>
    <row r="9859" hidden="1" x14ac:dyDescent="0.15"/>
    <row r="9860" hidden="1" x14ac:dyDescent="0.15"/>
    <row r="9861" hidden="1" x14ac:dyDescent="0.15"/>
    <row r="9862" hidden="1" x14ac:dyDescent="0.15"/>
    <row r="9863" hidden="1" x14ac:dyDescent="0.15"/>
    <row r="9864" hidden="1" x14ac:dyDescent="0.15"/>
    <row r="9865" hidden="1" x14ac:dyDescent="0.15"/>
    <row r="9866" hidden="1" x14ac:dyDescent="0.15"/>
    <row r="9867" hidden="1" x14ac:dyDescent="0.15"/>
    <row r="9868" hidden="1" x14ac:dyDescent="0.15"/>
    <row r="9869" hidden="1" x14ac:dyDescent="0.15"/>
    <row r="9870" hidden="1" x14ac:dyDescent="0.15"/>
    <row r="9871" hidden="1" x14ac:dyDescent="0.15"/>
    <row r="9872" hidden="1" x14ac:dyDescent="0.15"/>
    <row r="9873" hidden="1" x14ac:dyDescent="0.15"/>
    <row r="9874" hidden="1" x14ac:dyDescent="0.15"/>
    <row r="9875" hidden="1" x14ac:dyDescent="0.15"/>
    <row r="9876" hidden="1" x14ac:dyDescent="0.15"/>
    <row r="9877" hidden="1" x14ac:dyDescent="0.15"/>
    <row r="9878" hidden="1" x14ac:dyDescent="0.15"/>
    <row r="9879" hidden="1" x14ac:dyDescent="0.15"/>
    <row r="9880" hidden="1" x14ac:dyDescent="0.15"/>
    <row r="9881" hidden="1" x14ac:dyDescent="0.15"/>
    <row r="9882" hidden="1" x14ac:dyDescent="0.15"/>
    <row r="9883" hidden="1" x14ac:dyDescent="0.15"/>
    <row r="9884" hidden="1" x14ac:dyDescent="0.15"/>
    <row r="9885" hidden="1" x14ac:dyDescent="0.15"/>
    <row r="9886" hidden="1" x14ac:dyDescent="0.15"/>
    <row r="9887" hidden="1" x14ac:dyDescent="0.15"/>
    <row r="9888" hidden="1" x14ac:dyDescent="0.15"/>
    <row r="9889" hidden="1" x14ac:dyDescent="0.15"/>
    <row r="9890" hidden="1" x14ac:dyDescent="0.15"/>
    <row r="9891" hidden="1" x14ac:dyDescent="0.15"/>
    <row r="9892" hidden="1" x14ac:dyDescent="0.15"/>
    <row r="9893" hidden="1" x14ac:dyDescent="0.15"/>
    <row r="9894" hidden="1" x14ac:dyDescent="0.15"/>
    <row r="9895" hidden="1" x14ac:dyDescent="0.15"/>
    <row r="9896" hidden="1" x14ac:dyDescent="0.15"/>
    <row r="9897" hidden="1" x14ac:dyDescent="0.15"/>
    <row r="9898" hidden="1" x14ac:dyDescent="0.15"/>
    <row r="9899" hidden="1" x14ac:dyDescent="0.15"/>
    <row r="9900" hidden="1" x14ac:dyDescent="0.15"/>
    <row r="9901" hidden="1" x14ac:dyDescent="0.15"/>
    <row r="9902" hidden="1" x14ac:dyDescent="0.15"/>
    <row r="9903" hidden="1" x14ac:dyDescent="0.15"/>
    <row r="9904" hidden="1" x14ac:dyDescent="0.15"/>
    <row r="9905" hidden="1" x14ac:dyDescent="0.15"/>
    <row r="9906" hidden="1" x14ac:dyDescent="0.15"/>
    <row r="9907" hidden="1" x14ac:dyDescent="0.15"/>
    <row r="9908" hidden="1" x14ac:dyDescent="0.15"/>
    <row r="9909" hidden="1" x14ac:dyDescent="0.15"/>
    <row r="9910" hidden="1" x14ac:dyDescent="0.15"/>
    <row r="9911" hidden="1" x14ac:dyDescent="0.15"/>
    <row r="9912" hidden="1" x14ac:dyDescent="0.15"/>
    <row r="9913" hidden="1" x14ac:dyDescent="0.15"/>
    <row r="9914" hidden="1" x14ac:dyDescent="0.15"/>
    <row r="9915" hidden="1" x14ac:dyDescent="0.15"/>
    <row r="9916" hidden="1" x14ac:dyDescent="0.15"/>
    <row r="9917" hidden="1" x14ac:dyDescent="0.15"/>
    <row r="9918" hidden="1" x14ac:dyDescent="0.15"/>
    <row r="9919" hidden="1" x14ac:dyDescent="0.15"/>
    <row r="9920" hidden="1" x14ac:dyDescent="0.15"/>
    <row r="9921" hidden="1" x14ac:dyDescent="0.15"/>
    <row r="9922" hidden="1" x14ac:dyDescent="0.15"/>
    <row r="9923" hidden="1" x14ac:dyDescent="0.15"/>
    <row r="9924" hidden="1" x14ac:dyDescent="0.15"/>
    <row r="9925" hidden="1" x14ac:dyDescent="0.15"/>
    <row r="9926" hidden="1" x14ac:dyDescent="0.15"/>
    <row r="9927" hidden="1" x14ac:dyDescent="0.15"/>
    <row r="9928" hidden="1" x14ac:dyDescent="0.15"/>
    <row r="9929" hidden="1" x14ac:dyDescent="0.15"/>
    <row r="9930" hidden="1" x14ac:dyDescent="0.15"/>
    <row r="9931" hidden="1" x14ac:dyDescent="0.15"/>
    <row r="9932" hidden="1" x14ac:dyDescent="0.15"/>
    <row r="9933" hidden="1" x14ac:dyDescent="0.15"/>
    <row r="9934" hidden="1" x14ac:dyDescent="0.15"/>
    <row r="9935" hidden="1" x14ac:dyDescent="0.15"/>
    <row r="9936" hidden="1" x14ac:dyDescent="0.15"/>
    <row r="9937" hidden="1" x14ac:dyDescent="0.15"/>
    <row r="9938" hidden="1" x14ac:dyDescent="0.15"/>
    <row r="9939" hidden="1" x14ac:dyDescent="0.15"/>
    <row r="9940" hidden="1" x14ac:dyDescent="0.15"/>
    <row r="9941" hidden="1" x14ac:dyDescent="0.15"/>
    <row r="9942" hidden="1" x14ac:dyDescent="0.15"/>
    <row r="9943" hidden="1" x14ac:dyDescent="0.15"/>
    <row r="9944" hidden="1" x14ac:dyDescent="0.15"/>
    <row r="9945" hidden="1" x14ac:dyDescent="0.15"/>
    <row r="9946" hidden="1" x14ac:dyDescent="0.15"/>
    <row r="9947" hidden="1" x14ac:dyDescent="0.15"/>
    <row r="9948" hidden="1" x14ac:dyDescent="0.15"/>
    <row r="9949" hidden="1" x14ac:dyDescent="0.15"/>
    <row r="9950" hidden="1" x14ac:dyDescent="0.15"/>
    <row r="9951" hidden="1" x14ac:dyDescent="0.15"/>
    <row r="9952" hidden="1" x14ac:dyDescent="0.15"/>
    <row r="9953" hidden="1" x14ac:dyDescent="0.15"/>
    <row r="9954" hidden="1" x14ac:dyDescent="0.15"/>
    <row r="9955" hidden="1" x14ac:dyDescent="0.15"/>
    <row r="9956" hidden="1" x14ac:dyDescent="0.15"/>
    <row r="9957" hidden="1" x14ac:dyDescent="0.15"/>
    <row r="9958" hidden="1" x14ac:dyDescent="0.15"/>
    <row r="9959" hidden="1" x14ac:dyDescent="0.15"/>
    <row r="9960" hidden="1" x14ac:dyDescent="0.15"/>
    <row r="9961" hidden="1" x14ac:dyDescent="0.15"/>
    <row r="9962" hidden="1" x14ac:dyDescent="0.15"/>
    <row r="9963" hidden="1" x14ac:dyDescent="0.15"/>
    <row r="9964" hidden="1" x14ac:dyDescent="0.15"/>
    <row r="9965" hidden="1" x14ac:dyDescent="0.15"/>
    <row r="9966" hidden="1" x14ac:dyDescent="0.15"/>
    <row r="9967" hidden="1" x14ac:dyDescent="0.15"/>
    <row r="9968" hidden="1" x14ac:dyDescent="0.15"/>
    <row r="9969" hidden="1" x14ac:dyDescent="0.15"/>
    <row r="9970" hidden="1" x14ac:dyDescent="0.15"/>
    <row r="9971" hidden="1" x14ac:dyDescent="0.15"/>
    <row r="9972" hidden="1" x14ac:dyDescent="0.15"/>
    <row r="9973" hidden="1" x14ac:dyDescent="0.15"/>
    <row r="9974" hidden="1" x14ac:dyDescent="0.15"/>
    <row r="9975" hidden="1" x14ac:dyDescent="0.15"/>
    <row r="9976" hidden="1" x14ac:dyDescent="0.15"/>
    <row r="9977" hidden="1" x14ac:dyDescent="0.15"/>
    <row r="9978" hidden="1" x14ac:dyDescent="0.15"/>
    <row r="9979" hidden="1" x14ac:dyDescent="0.15"/>
    <row r="9980" hidden="1" x14ac:dyDescent="0.15"/>
    <row r="9981" hidden="1" x14ac:dyDescent="0.15"/>
    <row r="9982" hidden="1" x14ac:dyDescent="0.15"/>
    <row r="9983" hidden="1" x14ac:dyDescent="0.15"/>
    <row r="9984" hidden="1" x14ac:dyDescent="0.15"/>
    <row r="9985" hidden="1" x14ac:dyDescent="0.15"/>
    <row r="9986" hidden="1" x14ac:dyDescent="0.15"/>
    <row r="9987" hidden="1" x14ac:dyDescent="0.15"/>
    <row r="9988" hidden="1" x14ac:dyDescent="0.15"/>
    <row r="9989" hidden="1" x14ac:dyDescent="0.15"/>
    <row r="9990" hidden="1" x14ac:dyDescent="0.15"/>
    <row r="9991" hidden="1" x14ac:dyDescent="0.15"/>
    <row r="9992" hidden="1" x14ac:dyDescent="0.15"/>
    <row r="9993" hidden="1" x14ac:dyDescent="0.15"/>
    <row r="9994" hidden="1" x14ac:dyDescent="0.15"/>
    <row r="9995" hidden="1" x14ac:dyDescent="0.15"/>
    <row r="9996" hidden="1" x14ac:dyDescent="0.15"/>
    <row r="9997" hidden="1" x14ac:dyDescent="0.15"/>
    <row r="9998" hidden="1" x14ac:dyDescent="0.15"/>
    <row r="9999" hidden="1" x14ac:dyDescent="0.15"/>
    <row r="10000" hidden="1" x14ac:dyDescent="0.15"/>
    <row r="10001" hidden="1" x14ac:dyDescent="0.15"/>
    <row r="10002" hidden="1" x14ac:dyDescent="0.15"/>
    <row r="10003" hidden="1" x14ac:dyDescent="0.15"/>
    <row r="10004" hidden="1" x14ac:dyDescent="0.15"/>
    <row r="10005" hidden="1" x14ac:dyDescent="0.15"/>
    <row r="10006" hidden="1" x14ac:dyDescent="0.15"/>
    <row r="10007" hidden="1" x14ac:dyDescent="0.15"/>
    <row r="10008" hidden="1" x14ac:dyDescent="0.15"/>
    <row r="10009" hidden="1" x14ac:dyDescent="0.15"/>
    <row r="10010" hidden="1" x14ac:dyDescent="0.15"/>
    <row r="10011" hidden="1" x14ac:dyDescent="0.15"/>
    <row r="10012" hidden="1" x14ac:dyDescent="0.15"/>
    <row r="10013" hidden="1" x14ac:dyDescent="0.15"/>
    <row r="10014" hidden="1" x14ac:dyDescent="0.15"/>
    <row r="10015" hidden="1" x14ac:dyDescent="0.15"/>
    <row r="10016" hidden="1" x14ac:dyDescent="0.15"/>
    <row r="10017" hidden="1" x14ac:dyDescent="0.15"/>
    <row r="10018" hidden="1" x14ac:dyDescent="0.15"/>
    <row r="10019" hidden="1" x14ac:dyDescent="0.15"/>
    <row r="10020" hidden="1" x14ac:dyDescent="0.15"/>
    <row r="10021" hidden="1" x14ac:dyDescent="0.15"/>
    <row r="10022" hidden="1" x14ac:dyDescent="0.15"/>
    <row r="10023" hidden="1" x14ac:dyDescent="0.15"/>
    <row r="10024" hidden="1" x14ac:dyDescent="0.15"/>
    <row r="10025" hidden="1" x14ac:dyDescent="0.15"/>
    <row r="10026" hidden="1" x14ac:dyDescent="0.15"/>
    <row r="10027" hidden="1" x14ac:dyDescent="0.15"/>
    <row r="10028" hidden="1" x14ac:dyDescent="0.15"/>
    <row r="10029" hidden="1" x14ac:dyDescent="0.15"/>
    <row r="10030" hidden="1" x14ac:dyDescent="0.15"/>
    <row r="10031" hidden="1" x14ac:dyDescent="0.15"/>
    <row r="10032" hidden="1" x14ac:dyDescent="0.15"/>
    <row r="10033" hidden="1" x14ac:dyDescent="0.15"/>
    <row r="10034" hidden="1" x14ac:dyDescent="0.15"/>
    <row r="10035" hidden="1" x14ac:dyDescent="0.15"/>
    <row r="10036" hidden="1" x14ac:dyDescent="0.15"/>
    <row r="10037" hidden="1" x14ac:dyDescent="0.15"/>
    <row r="10038" hidden="1" x14ac:dyDescent="0.15"/>
    <row r="10039" hidden="1" x14ac:dyDescent="0.15"/>
    <row r="10040" hidden="1" x14ac:dyDescent="0.15"/>
    <row r="10041" hidden="1" x14ac:dyDescent="0.15"/>
    <row r="10042" hidden="1" x14ac:dyDescent="0.15"/>
    <row r="10043" hidden="1" x14ac:dyDescent="0.15"/>
    <row r="10044" hidden="1" x14ac:dyDescent="0.15"/>
    <row r="10045" hidden="1" x14ac:dyDescent="0.15"/>
    <row r="10046" hidden="1" x14ac:dyDescent="0.15"/>
    <row r="10047" hidden="1" x14ac:dyDescent="0.15"/>
    <row r="10048" hidden="1" x14ac:dyDescent="0.15"/>
    <row r="10049" hidden="1" x14ac:dyDescent="0.15"/>
    <row r="10050" hidden="1" x14ac:dyDescent="0.15"/>
    <row r="10051" hidden="1" x14ac:dyDescent="0.15"/>
    <row r="10052" hidden="1" x14ac:dyDescent="0.15"/>
    <row r="10053" hidden="1" x14ac:dyDescent="0.15"/>
    <row r="10054" hidden="1" x14ac:dyDescent="0.15"/>
    <row r="10055" hidden="1" x14ac:dyDescent="0.15"/>
    <row r="10056" hidden="1" x14ac:dyDescent="0.15"/>
    <row r="10057" hidden="1" x14ac:dyDescent="0.15"/>
    <row r="10058" hidden="1" x14ac:dyDescent="0.15"/>
    <row r="10059" hidden="1" x14ac:dyDescent="0.15"/>
    <row r="10060" hidden="1" x14ac:dyDescent="0.15"/>
    <row r="10061" hidden="1" x14ac:dyDescent="0.15"/>
    <row r="10062" hidden="1" x14ac:dyDescent="0.15"/>
    <row r="10063" hidden="1" x14ac:dyDescent="0.15"/>
    <row r="10064" hidden="1" x14ac:dyDescent="0.15"/>
    <row r="10065" hidden="1" x14ac:dyDescent="0.15"/>
    <row r="10066" hidden="1" x14ac:dyDescent="0.15"/>
    <row r="10067" hidden="1" x14ac:dyDescent="0.15"/>
    <row r="10068" hidden="1" x14ac:dyDescent="0.15"/>
    <row r="10069" hidden="1" x14ac:dyDescent="0.15"/>
    <row r="10070" hidden="1" x14ac:dyDescent="0.15"/>
    <row r="10071" hidden="1" x14ac:dyDescent="0.15"/>
    <row r="10072" hidden="1" x14ac:dyDescent="0.15"/>
    <row r="10073" hidden="1" x14ac:dyDescent="0.15"/>
    <row r="10074" hidden="1" x14ac:dyDescent="0.15"/>
    <row r="10075" hidden="1" x14ac:dyDescent="0.15"/>
    <row r="10076" hidden="1" x14ac:dyDescent="0.15"/>
    <row r="10077" hidden="1" x14ac:dyDescent="0.15"/>
    <row r="10078" hidden="1" x14ac:dyDescent="0.15"/>
    <row r="10079" hidden="1" x14ac:dyDescent="0.15"/>
    <row r="10080" hidden="1" x14ac:dyDescent="0.15"/>
    <row r="10081" hidden="1" x14ac:dyDescent="0.15"/>
    <row r="10082" hidden="1" x14ac:dyDescent="0.15"/>
    <row r="10083" hidden="1" x14ac:dyDescent="0.15"/>
    <row r="10084" hidden="1" x14ac:dyDescent="0.15"/>
    <row r="10085" hidden="1" x14ac:dyDescent="0.15"/>
    <row r="10086" hidden="1" x14ac:dyDescent="0.15"/>
    <row r="10087" hidden="1" x14ac:dyDescent="0.15"/>
    <row r="10088" hidden="1" x14ac:dyDescent="0.15"/>
    <row r="10089" hidden="1" x14ac:dyDescent="0.15"/>
    <row r="10090" hidden="1" x14ac:dyDescent="0.15"/>
    <row r="10091" hidden="1" x14ac:dyDescent="0.15"/>
    <row r="10092" hidden="1" x14ac:dyDescent="0.15"/>
    <row r="10093" hidden="1" x14ac:dyDescent="0.15"/>
    <row r="10094" hidden="1" x14ac:dyDescent="0.15"/>
    <row r="10095" hidden="1" x14ac:dyDescent="0.15"/>
    <row r="10096" hidden="1" x14ac:dyDescent="0.15"/>
    <row r="10097" hidden="1" x14ac:dyDescent="0.15"/>
    <row r="10098" hidden="1" x14ac:dyDescent="0.15"/>
    <row r="10099" hidden="1" x14ac:dyDescent="0.15"/>
    <row r="10100" hidden="1" x14ac:dyDescent="0.15"/>
    <row r="10101" hidden="1" x14ac:dyDescent="0.15"/>
    <row r="10102" hidden="1" x14ac:dyDescent="0.15"/>
    <row r="10103" hidden="1" x14ac:dyDescent="0.15"/>
    <row r="10104" hidden="1" x14ac:dyDescent="0.15"/>
    <row r="10105" hidden="1" x14ac:dyDescent="0.15"/>
    <row r="10106" hidden="1" x14ac:dyDescent="0.15"/>
    <row r="10107" hidden="1" x14ac:dyDescent="0.15"/>
    <row r="10108" hidden="1" x14ac:dyDescent="0.15"/>
    <row r="10109" hidden="1" x14ac:dyDescent="0.15"/>
    <row r="10110" hidden="1" x14ac:dyDescent="0.15"/>
    <row r="10111" hidden="1" x14ac:dyDescent="0.15"/>
    <row r="10112" hidden="1" x14ac:dyDescent="0.15"/>
    <row r="10113" hidden="1" x14ac:dyDescent="0.15"/>
    <row r="10114" hidden="1" x14ac:dyDescent="0.15"/>
    <row r="10115" hidden="1" x14ac:dyDescent="0.15"/>
    <row r="10116" hidden="1" x14ac:dyDescent="0.15"/>
    <row r="10117" hidden="1" x14ac:dyDescent="0.15"/>
    <row r="10118" hidden="1" x14ac:dyDescent="0.15"/>
    <row r="10119" hidden="1" x14ac:dyDescent="0.15"/>
    <row r="10120" hidden="1" x14ac:dyDescent="0.15"/>
    <row r="10121" hidden="1" x14ac:dyDescent="0.15"/>
    <row r="10122" hidden="1" x14ac:dyDescent="0.15"/>
    <row r="10123" hidden="1" x14ac:dyDescent="0.15"/>
    <row r="10124" hidden="1" x14ac:dyDescent="0.15"/>
    <row r="10125" hidden="1" x14ac:dyDescent="0.15"/>
    <row r="10126" hidden="1" x14ac:dyDescent="0.15"/>
    <row r="10127" hidden="1" x14ac:dyDescent="0.15"/>
    <row r="10128" hidden="1" x14ac:dyDescent="0.15"/>
    <row r="10129" hidden="1" x14ac:dyDescent="0.15"/>
    <row r="10130" hidden="1" x14ac:dyDescent="0.15"/>
    <row r="10131" hidden="1" x14ac:dyDescent="0.15"/>
    <row r="10132" hidden="1" x14ac:dyDescent="0.15"/>
    <row r="10133" hidden="1" x14ac:dyDescent="0.15"/>
    <row r="10134" hidden="1" x14ac:dyDescent="0.15"/>
    <row r="10135" hidden="1" x14ac:dyDescent="0.15"/>
    <row r="10136" hidden="1" x14ac:dyDescent="0.15"/>
    <row r="10137" hidden="1" x14ac:dyDescent="0.15"/>
    <row r="10138" hidden="1" x14ac:dyDescent="0.15"/>
    <row r="10139" hidden="1" x14ac:dyDescent="0.15"/>
    <row r="10140" hidden="1" x14ac:dyDescent="0.15"/>
    <row r="10141" hidden="1" x14ac:dyDescent="0.15"/>
    <row r="10142" hidden="1" x14ac:dyDescent="0.15"/>
    <row r="10143" hidden="1" x14ac:dyDescent="0.15"/>
    <row r="10144" hidden="1" x14ac:dyDescent="0.15"/>
    <row r="10145" hidden="1" x14ac:dyDescent="0.15"/>
    <row r="10146" hidden="1" x14ac:dyDescent="0.15"/>
    <row r="10147" hidden="1" x14ac:dyDescent="0.15"/>
    <row r="10148" hidden="1" x14ac:dyDescent="0.15"/>
    <row r="10149" hidden="1" x14ac:dyDescent="0.15"/>
    <row r="10150" hidden="1" x14ac:dyDescent="0.15"/>
    <row r="10151" hidden="1" x14ac:dyDescent="0.15"/>
    <row r="10152" hidden="1" x14ac:dyDescent="0.15"/>
    <row r="10153" hidden="1" x14ac:dyDescent="0.15"/>
    <row r="10154" hidden="1" x14ac:dyDescent="0.15"/>
    <row r="10155" hidden="1" x14ac:dyDescent="0.15"/>
    <row r="10156" hidden="1" x14ac:dyDescent="0.15"/>
    <row r="10157" hidden="1" x14ac:dyDescent="0.15"/>
    <row r="10158" hidden="1" x14ac:dyDescent="0.15"/>
    <row r="10159" hidden="1" x14ac:dyDescent="0.15"/>
    <row r="10160" hidden="1" x14ac:dyDescent="0.15"/>
    <row r="10161" hidden="1" x14ac:dyDescent="0.15"/>
    <row r="10162" hidden="1" x14ac:dyDescent="0.15"/>
    <row r="10163" hidden="1" x14ac:dyDescent="0.15"/>
    <row r="10164" hidden="1" x14ac:dyDescent="0.15"/>
    <row r="10165" hidden="1" x14ac:dyDescent="0.15"/>
    <row r="10166" hidden="1" x14ac:dyDescent="0.15"/>
    <row r="10167" hidden="1" x14ac:dyDescent="0.15"/>
    <row r="10168" hidden="1" x14ac:dyDescent="0.15"/>
    <row r="10169" hidden="1" x14ac:dyDescent="0.15"/>
    <row r="10170" hidden="1" x14ac:dyDescent="0.15"/>
    <row r="10171" hidden="1" x14ac:dyDescent="0.15"/>
    <row r="10172" hidden="1" x14ac:dyDescent="0.15"/>
    <row r="10173" hidden="1" x14ac:dyDescent="0.15"/>
    <row r="10174" hidden="1" x14ac:dyDescent="0.15"/>
    <row r="10175" hidden="1" x14ac:dyDescent="0.15"/>
    <row r="10176" hidden="1" x14ac:dyDescent="0.15"/>
    <row r="10177" hidden="1" x14ac:dyDescent="0.15"/>
    <row r="10178" hidden="1" x14ac:dyDescent="0.15"/>
    <row r="10179" hidden="1" x14ac:dyDescent="0.15"/>
    <row r="10180" hidden="1" x14ac:dyDescent="0.15"/>
    <row r="10181" hidden="1" x14ac:dyDescent="0.15"/>
    <row r="10182" hidden="1" x14ac:dyDescent="0.15"/>
    <row r="10183" hidden="1" x14ac:dyDescent="0.15"/>
    <row r="10184" hidden="1" x14ac:dyDescent="0.15"/>
    <row r="10185" hidden="1" x14ac:dyDescent="0.15"/>
    <row r="10186" hidden="1" x14ac:dyDescent="0.15"/>
    <row r="10187" hidden="1" x14ac:dyDescent="0.15"/>
    <row r="10188" hidden="1" x14ac:dyDescent="0.15"/>
    <row r="10189" hidden="1" x14ac:dyDescent="0.15"/>
    <row r="10190" hidden="1" x14ac:dyDescent="0.15"/>
    <row r="10191" hidden="1" x14ac:dyDescent="0.15"/>
    <row r="10192" hidden="1" x14ac:dyDescent="0.15"/>
    <row r="10193" hidden="1" x14ac:dyDescent="0.15"/>
    <row r="10194" hidden="1" x14ac:dyDescent="0.15"/>
    <row r="10195" hidden="1" x14ac:dyDescent="0.15"/>
    <row r="10196" hidden="1" x14ac:dyDescent="0.15"/>
    <row r="10197" hidden="1" x14ac:dyDescent="0.15"/>
    <row r="10198" hidden="1" x14ac:dyDescent="0.15"/>
    <row r="10199" hidden="1" x14ac:dyDescent="0.15"/>
    <row r="10200" hidden="1" x14ac:dyDescent="0.15"/>
    <row r="10201" hidden="1" x14ac:dyDescent="0.15"/>
    <row r="10202" hidden="1" x14ac:dyDescent="0.15"/>
    <row r="10203" hidden="1" x14ac:dyDescent="0.15"/>
    <row r="10204" hidden="1" x14ac:dyDescent="0.15"/>
    <row r="10205" hidden="1" x14ac:dyDescent="0.15"/>
    <row r="10206" hidden="1" x14ac:dyDescent="0.15"/>
    <row r="10207" hidden="1" x14ac:dyDescent="0.15"/>
    <row r="10208" hidden="1" x14ac:dyDescent="0.15"/>
    <row r="10209" hidden="1" x14ac:dyDescent="0.15"/>
    <row r="10210" hidden="1" x14ac:dyDescent="0.15"/>
    <row r="10211" hidden="1" x14ac:dyDescent="0.15"/>
    <row r="10212" hidden="1" x14ac:dyDescent="0.15"/>
    <row r="10213" hidden="1" x14ac:dyDescent="0.15"/>
    <row r="10214" hidden="1" x14ac:dyDescent="0.15"/>
    <row r="10215" hidden="1" x14ac:dyDescent="0.15"/>
    <row r="10216" hidden="1" x14ac:dyDescent="0.15"/>
    <row r="10217" hidden="1" x14ac:dyDescent="0.15"/>
    <row r="10218" hidden="1" x14ac:dyDescent="0.15"/>
    <row r="10219" hidden="1" x14ac:dyDescent="0.15"/>
    <row r="10220" hidden="1" x14ac:dyDescent="0.15"/>
    <row r="10221" hidden="1" x14ac:dyDescent="0.15"/>
    <row r="10222" hidden="1" x14ac:dyDescent="0.15"/>
    <row r="10223" hidden="1" x14ac:dyDescent="0.15"/>
    <row r="10224" hidden="1" x14ac:dyDescent="0.15"/>
    <row r="10225" hidden="1" x14ac:dyDescent="0.15"/>
    <row r="10226" hidden="1" x14ac:dyDescent="0.15"/>
    <row r="10227" hidden="1" x14ac:dyDescent="0.15"/>
    <row r="10228" hidden="1" x14ac:dyDescent="0.15"/>
    <row r="10229" hidden="1" x14ac:dyDescent="0.15"/>
    <row r="10230" hidden="1" x14ac:dyDescent="0.15"/>
    <row r="10231" hidden="1" x14ac:dyDescent="0.15"/>
    <row r="10232" hidden="1" x14ac:dyDescent="0.15"/>
    <row r="10233" hidden="1" x14ac:dyDescent="0.15"/>
    <row r="10234" hidden="1" x14ac:dyDescent="0.15"/>
    <row r="10235" hidden="1" x14ac:dyDescent="0.15"/>
    <row r="10236" hidden="1" x14ac:dyDescent="0.15"/>
    <row r="10237" hidden="1" x14ac:dyDescent="0.15"/>
    <row r="10238" hidden="1" x14ac:dyDescent="0.15"/>
    <row r="10239" hidden="1" x14ac:dyDescent="0.15"/>
    <row r="10240" hidden="1" x14ac:dyDescent="0.15"/>
    <row r="10241" hidden="1" x14ac:dyDescent="0.15"/>
    <row r="10242" hidden="1" x14ac:dyDescent="0.15"/>
    <row r="10243" hidden="1" x14ac:dyDescent="0.15"/>
    <row r="10244" hidden="1" x14ac:dyDescent="0.15"/>
    <row r="10245" hidden="1" x14ac:dyDescent="0.15"/>
    <row r="10246" hidden="1" x14ac:dyDescent="0.15"/>
    <row r="10247" hidden="1" x14ac:dyDescent="0.15"/>
    <row r="10248" hidden="1" x14ac:dyDescent="0.15"/>
    <row r="10249" hidden="1" x14ac:dyDescent="0.15"/>
    <row r="10250" hidden="1" x14ac:dyDescent="0.15"/>
    <row r="10251" hidden="1" x14ac:dyDescent="0.15"/>
    <row r="10252" hidden="1" x14ac:dyDescent="0.15"/>
    <row r="10253" hidden="1" x14ac:dyDescent="0.15"/>
    <row r="10254" hidden="1" x14ac:dyDescent="0.15"/>
    <row r="10255" hidden="1" x14ac:dyDescent="0.15"/>
    <row r="10256" hidden="1" x14ac:dyDescent="0.15"/>
    <row r="10257" hidden="1" x14ac:dyDescent="0.15"/>
    <row r="10258" hidden="1" x14ac:dyDescent="0.15"/>
    <row r="10259" hidden="1" x14ac:dyDescent="0.15"/>
    <row r="10260" hidden="1" x14ac:dyDescent="0.15"/>
    <row r="10261" hidden="1" x14ac:dyDescent="0.15"/>
    <row r="10262" hidden="1" x14ac:dyDescent="0.15"/>
    <row r="10263" hidden="1" x14ac:dyDescent="0.15"/>
    <row r="10264" hidden="1" x14ac:dyDescent="0.15"/>
    <row r="10265" hidden="1" x14ac:dyDescent="0.15"/>
    <row r="10266" hidden="1" x14ac:dyDescent="0.15"/>
    <row r="10267" hidden="1" x14ac:dyDescent="0.15"/>
    <row r="10268" hidden="1" x14ac:dyDescent="0.15"/>
    <row r="10269" hidden="1" x14ac:dyDescent="0.15"/>
    <row r="10270" hidden="1" x14ac:dyDescent="0.15"/>
    <row r="10271" hidden="1" x14ac:dyDescent="0.15"/>
    <row r="10272" hidden="1" x14ac:dyDescent="0.15"/>
    <row r="10273" hidden="1" x14ac:dyDescent="0.15"/>
    <row r="10274" hidden="1" x14ac:dyDescent="0.15"/>
    <row r="10275" hidden="1" x14ac:dyDescent="0.15"/>
    <row r="10276" hidden="1" x14ac:dyDescent="0.15"/>
    <row r="10277" hidden="1" x14ac:dyDescent="0.15"/>
    <row r="10278" hidden="1" x14ac:dyDescent="0.15"/>
    <row r="10279" hidden="1" x14ac:dyDescent="0.15"/>
    <row r="10280" hidden="1" x14ac:dyDescent="0.15"/>
    <row r="10281" hidden="1" x14ac:dyDescent="0.15"/>
    <row r="10282" hidden="1" x14ac:dyDescent="0.15"/>
    <row r="10283" hidden="1" x14ac:dyDescent="0.15"/>
    <row r="10284" hidden="1" x14ac:dyDescent="0.15"/>
    <row r="10285" hidden="1" x14ac:dyDescent="0.15"/>
    <row r="10286" hidden="1" x14ac:dyDescent="0.15"/>
    <row r="10287" hidden="1" x14ac:dyDescent="0.15"/>
    <row r="10288" hidden="1" x14ac:dyDescent="0.15"/>
    <row r="10289" hidden="1" x14ac:dyDescent="0.15"/>
    <row r="10290" hidden="1" x14ac:dyDescent="0.15"/>
    <row r="10291" hidden="1" x14ac:dyDescent="0.15"/>
    <row r="10292" hidden="1" x14ac:dyDescent="0.15"/>
    <row r="10293" hidden="1" x14ac:dyDescent="0.15"/>
    <row r="10294" hidden="1" x14ac:dyDescent="0.15"/>
    <row r="10295" hidden="1" x14ac:dyDescent="0.15"/>
    <row r="10296" hidden="1" x14ac:dyDescent="0.15"/>
    <row r="10297" hidden="1" x14ac:dyDescent="0.15"/>
    <row r="10298" hidden="1" x14ac:dyDescent="0.15"/>
    <row r="10299" hidden="1" x14ac:dyDescent="0.15"/>
    <row r="10300" hidden="1" x14ac:dyDescent="0.15"/>
    <row r="10301" hidden="1" x14ac:dyDescent="0.15"/>
    <row r="10302" hidden="1" x14ac:dyDescent="0.15"/>
    <row r="10303" hidden="1" x14ac:dyDescent="0.15"/>
    <row r="10304" hidden="1" x14ac:dyDescent="0.15"/>
    <row r="10305" hidden="1" x14ac:dyDescent="0.15"/>
    <row r="10306" hidden="1" x14ac:dyDescent="0.15"/>
    <row r="10307" hidden="1" x14ac:dyDescent="0.15"/>
    <row r="10308" hidden="1" x14ac:dyDescent="0.15"/>
    <row r="10309" hidden="1" x14ac:dyDescent="0.15"/>
    <row r="10310" hidden="1" x14ac:dyDescent="0.15"/>
    <row r="10311" hidden="1" x14ac:dyDescent="0.15"/>
    <row r="10312" hidden="1" x14ac:dyDescent="0.15"/>
    <row r="10313" hidden="1" x14ac:dyDescent="0.15"/>
    <row r="10314" hidden="1" x14ac:dyDescent="0.15"/>
    <row r="10315" hidden="1" x14ac:dyDescent="0.15"/>
    <row r="10316" hidden="1" x14ac:dyDescent="0.15"/>
    <row r="10317" hidden="1" x14ac:dyDescent="0.15"/>
    <row r="10318" hidden="1" x14ac:dyDescent="0.15"/>
    <row r="10319" hidden="1" x14ac:dyDescent="0.15"/>
    <row r="10320" hidden="1" x14ac:dyDescent="0.15"/>
    <row r="10321" hidden="1" x14ac:dyDescent="0.15"/>
    <row r="10322" hidden="1" x14ac:dyDescent="0.15"/>
    <row r="10323" hidden="1" x14ac:dyDescent="0.15"/>
    <row r="10324" hidden="1" x14ac:dyDescent="0.15"/>
    <row r="10325" hidden="1" x14ac:dyDescent="0.15"/>
    <row r="10326" hidden="1" x14ac:dyDescent="0.15"/>
    <row r="10327" hidden="1" x14ac:dyDescent="0.15"/>
    <row r="10328" hidden="1" x14ac:dyDescent="0.15"/>
    <row r="10329" hidden="1" x14ac:dyDescent="0.15"/>
    <row r="10330" hidden="1" x14ac:dyDescent="0.15"/>
    <row r="10331" hidden="1" x14ac:dyDescent="0.15"/>
    <row r="10332" hidden="1" x14ac:dyDescent="0.15"/>
    <row r="10333" hidden="1" x14ac:dyDescent="0.15"/>
    <row r="10334" hidden="1" x14ac:dyDescent="0.15"/>
    <row r="10335" hidden="1" x14ac:dyDescent="0.15"/>
    <row r="10336" hidden="1" x14ac:dyDescent="0.15"/>
    <row r="10337" hidden="1" x14ac:dyDescent="0.15"/>
    <row r="10338" hidden="1" x14ac:dyDescent="0.15"/>
    <row r="10339" hidden="1" x14ac:dyDescent="0.15"/>
    <row r="10340" hidden="1" x14ac:dyDescent="0.15"/>
    <row r="10341" hidden="1" x14ac:dyDescent="0.15"/>
    <row r="10342" hidden="1" x14ac:dyDescent="0.15"/>
    <row r="10343" hidden="1" x14ac:dyDescent="0.15"/>
    <row r="10344" hidden="1" x14ac:dyDescent="0.15"/>
    <row r="10345" hidden="1" x14ac:dyDescent="0.15"/>
    <row r="10346" hidden="1" x14ac:dyDescent="0.15"/>
    <row r="10347" hidden="1" x14ac:dyDescent="0.15"/>
    <row r="10348" hidden="1" x14ac:dyDescent="0.15"/>
    <row r="10349" hidden="1" x14ac:dyDescent="0.15"/>
    <row r="10350" hidden="1" x14ac:dyDescent="0.15"/>
    <row r="10351" hidden="1" x14ac:dyDescent="0.15"/>
    <row r="10352" hidden="1" x14ac:dyDescent="0.15"/>
    <row r="10353" hidden="1" x14ac:dyDescent="0.15"/>
    <row r="10354" hidden="1" x14ac:dyDescent="0.15"/>
    <row r="10355" hidden="1" x14ac:dyDescent="0.15"/>
    <row r="10356" hidden="1" x14ac:dyDescent="0.15"/>
    <row r="10357" hidden="1" x14ac:dyDescent="0.15"/>
    <row r="10358" hidden="1" x14ac:dyDescent="0.15"/>
    <row r="10359" hidden="1" x14ac:dyDescent="0.15"/>
    <row r="10360" hidden="1" x14ac:dyDescent="0.15"/>
    <row r="10361" hidden="1" x14ac:dyDescent="0.15"/>
    <row r="10362" hidden="1" x14ac:dyDescent="0.15"/>
    <row r="10363" hidden="1" x14ac:dyDescent="0.15"/>
    <row r="10364" hidden="1" x14ac:dyDescent="0.15"/>
    <row r="10365" hidden="1" x14ac:dyDescent="0.15"/>
    <row r="10366" hidden="1" x14ac:dyDescent="0.15"/>
    <row r="10367" hidden="1" x14ac:dyDescent="0.15"/>
    <row r="10368" hidden="1" x14ac:dyDescent="0.15"/>
    <row r="10369" hidden="1" x14ac:dyDescent="0.15"/>
    <row r="10370" hidden="1" x14ac:dyDescent="0.15"/>
    <row r="10371" hidden="1" x14ac:dyDescent="0.15"/>
    <row r="10372" hidden="1" x14ac:dyDescent="0.15"/>
    <row r="10373" hidden="1" x14ac:dyDescent="0.15"/>
    <row r="10374" hidden="1" x14ac:dyDescent="0.15"/>
    <row r="10375" hidden="1" x14ac:dyDescent="0.15"/>
    <row r="10376" hidden="1" x14ac:dyDescent="0.15"/>
    <row r="10377" hidden="1" x14ac:dyDescent="0.15"/>
    <row r="10378" hidden="1" x14ac:dyDescent="0.15"/>
    <row r="10379" hidden="1" x14ac:dyDescent="0.15"/>
    <row r="10380" hidden="1" x14ac:dyDescent="0.15"/>
    <row r="10381" hidden="1" x14ac:dyDescent="0.15"/>
    <row r="10382" hidden="1" x14ac:dyDescent="0.15"/>
    <row r="10383" hidden="1" x14ac:dyDescent="0.15"/>
    <row r="10384" hidden="1" x14ac:dyDescent="0.15"/>
    <row r="10385" hidden="1" x14ac:dyDescent="0.15"/>
    <row r="10386" hidden="1" x14ac:dyDescent="0.15"/>
    <row r="10387" hidden="1" x14ac:dyDescent="0.15"/>
    <row r="10388" hidden="1" x14ac:dyDescent="0.15"/>
    <row r="10389" hidden="1" x14ac:dyDescent="0.15"/>
    <row r="10390" hidden="1" x14ac:dyDescent="0.15"/>
    <row r="10391" hidden="1" x14ac:dyDescent="0.15"/>
    <row r="10392" hidden="1" x14ac:dyDescent="0.15"/>
    <row r="10393" hidden="1" x14ac:dyDescent="0.15"/>
    <row r="10394" hidden="1" x14ac:dyDescent="0.15"/>
    <row r="10395" hidden="1" x14ac:dyDescent="0.15"/>
    <row r="10396" hidden="1" x14ac:dyDescent="0.15"/>
    <row r="10397" hidden="1" x14ac:dyDescent="0.15"/>
    <row r="10398" hidden="1" x14ac:dyDescent="0.15"/>
    <row r="10399" hidden="1" x14ac:dyDescent="0.15"/>
    <row r="10400" hidden="1" x14ac:dyDescent="0.15"/>
    <row r="10401" hidden="1" x14ac:dyDescent="0.15"/>
    <row r="10402" hidden="1" x14ac:dyDescent="0.15"/>
    <row r="10403" hidden="1" x14ac:dyDescent="0.15"/>
    <row r="10404" hidden="1" x14ac:dyDescent="0.15"/>
    <row r="10405" hidden="1" x14ac:dyDescent="0.15"/>
    <row r="10406" hidden="1" x14ac:dyDescent="0.15"/>
    <row r="10407" hidden="1" x14ac:dyDescent="0.15"/>
    <row r="10408" hidden="1" x14ac:dyDescent="0.15"/>
    <row r="10409" hidden="1" x14ac:dyDescent="0.15"/>
    <row r="10410" hidden="1" x14ac:dyDescent="0.15"/>
    <row r="10411" hidden="1" x14ac:dyDescent="0.15"/>
    <row r="10412" hidden="1" x14ac:dyDescent="0.15"/>
    <row r="10413" hidden="1" x14ac:dyDescent="0.15"/>
    <row r="10414" hidden="1" x14ac:dyDescent="0.15"/>
    <row r="10415" hidden="1" x14ac:dyDescent="0.15"/>
    <row r="10416" hidden="1" x14ac:dyDescent="0.15"/>
    <row r="10417" hidden="1" x14ac:dyDescent="0.15"/>
    <row r="10418" hidden="1" x14ac:dyDescent="0.15"/>
    <row r="10419" hidden="1" x14ac:dyDescent="0.15"/>
    <row r="10420" hidden="1" x14ac:dyDescent="0.15"/>
    <row r="10421" hidden="1" x14ac:dyDescent="0.15"/>
    <row r="10422" hidden="1" x14ac:dyDescent="0.15"/>
    <row r="10423" hidden="1" x14ac:dyDescent="0.15"/>
    <row r="10424" hidden="1" x14ac:dyDescent="0.15"/>
    <row r="10425" hidden="1" x14ac:dyDescent="0.15"/>
    <row r="10426" hidden="1" x14ac:dyDescent="0.15"/>
    <row r="10427" hidden="1" x14ac:dyDescent="0.15"/>
    <row r="10428" hidden="1" x14ac:dyDescent="0.15"/>
    <row r="10429" hidden="1" x14ac:dyDescent="0.15"/>
    <row r="10430" hidden="1" x14ac:dyDescent="0.15"/>
    <row r="10431" hidden="1" x14ac:dyDescent="0.15"/>
    <row r="10432" hidden="1" x14ac:dyDescent="0.15"/>
    <row r="10433" hidden="1" x14ac:dyDescent="0.15"/>
    <row r="10434" hidden="1" x14ac:dyDescent="0.15"/>
    <row r="10435" hidden="1" x14ac:dyDescent="0.15"/>
    <row r="10436" hidden="1" x14ac:dyDescent="0.15"/>
    <row r="10437" hidden="1" x14ac:dyDescent="0.15"/>
    <row r="10438" hidden="1" x14ac:dyDescent="0.15"/>
    <row r="10439" hidden="1" x14ac:dyDescent="0.15"/>
    <row r="10440" hidden="1" x14ac:dyDescent="0.15"/>
    <row r="10441" hidden="1" x14ac:dyDescent="0.15"/>
    <row r="10442" hidden="1" x14ac:dyDescent="0.15"/>
    <row r="10443" hidden="1" x14ac:dyDescent="0.15"/>
    <row r="10444" hidden="1" x14ac:dyDescent="0.15"/>
    <row r="10445" hidden="1" x14ac:dyDescent="0.15"/>
    <row r="10446" hidden="1" x14ac:dyDescent="0.15"/>
    <row r="10447" hidden="1" x14ac:dyDescent="0.15"/>
    <row r="10448" hidden="1" x14ac:dyDescent="0.15"/>
    <row r="10449" hidden="1" x14ac:dyDescent="0.15"/>
    <row r="10450" hidden="1" x14ac:dyDescent="0.15"/>
    <row r="10451" hidden="1" x14ac:dyDescent="0.15"/>
    <row r="10452" hidden="1" x14ac:dyDescent="0.15"/>
    <row r="10453" hidden="1" x14ac:dyDescent="0.15"/>
    <row r="10454" hidden="1" x14ac:dyDescent="0.15"/>
    <row r="10455" hidden="1" x14ac:dyDescent="0.15"/>
    <row r="10456" hidden="1" x14ac:dyDescent="0.15"/>
    <row r="10457" hidden="1" x14ac:dyDescent="0.15"/>
    <row r="10458" hidden="1" x14ac:dyDescent="0.15"/>
    <row r="10459" hidden="1" x14ac:dyDescent="0.15"/>
    <row r="10460" hidden="1" x14ac:dyDescent="0.15"/>
    <row r="10461" hidden="1" x14ac:dyDescent="0.15"/>
    <row r="10462" hidden="1" x14ac:dyDescent="0.15"/>
    <row r="10463" hidden="1" x14ac:dyDescent="0.15"/>
    <row r="10464" hidden="1" x14ac:dyDescent="0.15"/>
    <row r="10465" hidden="1" x14ac:dyDescent="0.15"/>
    <row r="10466" hidden="1" x14ac:dyDescent="0.15"/>
    <row r="10467" hidden="1" x14ac:dyDescent="0.15"/>
    <row r="10468" hidden="1" x14ac:dyDescent="0.15"/>
    <row r="10469" hidden="1" x14ac:dyDescent="0.15"/>
    <row r="10470" hidden="1" x14ac:dyDescent="0.15"/>
    <row r="10471" hidden="1" x14ac:dyDescent="0.15"/>
    <row r="10472" hidden="1" x14ac:dyDescent="0.15"/>
    <row r="10473" hidden="1" x14ac:dyDescent="0.15"/>
    <row r="10474" hidden="1" x14ac:dyDescent="0.15"/>
    <row r="10475" hidden="1" x14ac:dyDescent="0.15"/>
    <row r="10476" hidden="1" x14ac:dyDescent="0.15"/>
    <row r="10477" hidden="1" x14ac:dyDescent="0.15"/>
    <row r="10478" hidden="1" x14ac:dyDescent="0.15"/>
    <row r="10479" hidden="1" x14ac:dyDescent="0.15"/>
    <row r="10480" hidden="1" x14ac:dyDescent="0.15"/>
    <row r="10481" hidden="1" x14ac:dyDescent="0.15"/>
    <row r="10482" hidden="1" x14ac:dyDescent="0.15"/>
    <row r="10483" hidden="1" x14ac:dyDescent="0.15"/>
    <row r="10484" hidden="1" x14ac:dyDescent="0.15"/>
    <row r="10485" hidden="1" x14ac:dyDescent="0.15"/>
    <row r="10486" hidden="1" x14ac:dyDescent="0.15"/>
    <row r="10487" hidden="1" x14ac:dyDescent="0.15"/>
    <row r="10488" hidden="1" x14ac:dyDescent="0.15"/>
    <row r="10489" hidden="1" x14ac:dyDescent="0.15"/>
    <row r="10490" hidden="1" x14ac:dyDescent="0.15"/>
    <row r="10491" hidden="1" x14ac:dyDescent="0.15"/>
    <row r="10492" hidden="1" x14ac:dyDescent="0.15"/>
    <row r="10493" hidden="1" x14ac:dyDescent="0.15"/>
    <row r="10494" hidden="1" x14ac:dyDescent="0.15"/>
    <row r="10495" hidden="1" x14ac:dyDescent="0.15"/>
    <row r="10496" hidden="1" x14ac:dyDescent="0.15"/>
    <row r="10497" hidden="1" x14ac:dyDescent="0.15"/>
    <row r="10498" hidden="1" x14ac:dyDescent="0.15"/>
    <row r="10499" hidden="1" x14ac:dyDescent="0.15"/>
    <row r="10500" hidden="1" x14ac:dyDescent="0.15"/>
    <row r="10501" hidden="1" x14ac:dyDescent="0.15"/>
    <row r="10502" hidden="1" x14ac:dyDescent="0.15"/>
    <row r="10503" hidden="1" x14ac:dyDescent="0.15"/>
    <row r="10504" hidden="1" x14ac:dyDescent="0.15"/>
    <row r="10505" hidden="1" x14ac:dyDescent="0.15"/>
    <row r="10506" hidden="1" x14ac:dyDescent="0.15"/>
    <row r="10507" hidden="1" x14ac:dyDescent="0.15"/>
    <row r="10508" hidden="1" x14ac:dyDescent="0.15"/>
    <row r="10509" hidden="1" x14ac:dyDescent="0.15"/>
    <row r="10510" hidden="1" x14ac:dyDescent="0.15"/>
    <row r="10511" hidden="1" x14ac:dyDescent="0.15"/>
    <row r="10512" hidden="1" x14ac:dyDescent="0.15"/>
    <row r="10513" hidden="1" x14ac:dyDescent="0.15"/>
    <row r="10514" hidden="1" x14ac:dyDescent="0.15"/>
    <row r="10515" hidden="1" x14ac:dyDescent="0.15"/>
    <row r="10516" hidden="1" x14ac:dyDescent="0.15"/>
    <row r="10517" hidden="1" x14ac:dyDescent="0.15"/>
    <row r="10518" hidden="1" x14ac:dyDescent="0.15"/>
    <row r="10519" hidden="1" x14ac:dyDescent="0.15"/>
    <row r="10520" hidden="1" x14ac:dyDescent="0.15"/>
    <row r="10521" hidden="1" x14ac:dyDescent="0.15"/>
    <row r="10522" hidden="1" x14ac:dyDescent="0.15"/>
    <row r="10523" hidden="1" x14ac:dyDescent="0.15"/>
    <row r="10524" hidden="1" x14ac:dyDescent="0.15"/>
    <row r="10525" hidden="1" x14ac:dyDescent="0.15"/>
    <row r="10526" hidden="1" x14ac:dyDescent="0.15"/>
    <row r="10527" hidden="1" x14ac:dyDescent="0.15"/>
    <row r="10528" hidden="1" x14ac:dyDescent="0.15"/>
    <row r="10529" hidden="1" x14ac:dyDescent="0.15"/>
    <row r="10530" hidden="1" x14ac:dyDescent="0.15"/>
    <row r="10531" hidden="1" x14ac:dyDescent="0.15"/>
    <row r="10532" hidden="1" x14ac:dyDescent="0.15"/>
    <row r="10533" hidden="1" x14ac:dyDescent="0.15"/>
    <row r="10534" hidden="1" x14ac:dyDescent="0.15"/>
    <row r="10535" hidden="1" x14ac:dyDescent="0.15"/>
    <row r="10536" hidden="1" x14ac:dyDescent="0.15"/>
    <row r="10537" hidden="1" x14ac:dyDescent="0.15"/>
    <row r="10538" hidden="1" x14ac:dyDescent="0.15"/>
    <row r="10539" hidden="1" x14ac:dyDescent="0.15"/>
    <row r="10540" hidden="1" x14ac:dyDescent="0.15"/>
    <row r="10541" hidden="1" x14ac:dyDescent="0.15"/>
    <row r="10542" hidden="1" x14ac:dyDescent="0.15"/>
    <row r="10543" hidden="1" x14ac:dyDescent="0.15"/>
    <row r="10544" hidden="1" x14ac:dyDescent="0.15"/>
    <row r="10545" hidden="1" x14ac:dyDescent="0.15"/>
    <row r="10546" hidden="1" x14ac:dyDescent="0.15"/>
    <row r="10547" hidden="1" x14ac:dyDescent="0.15"/>
    <row r="10548" hidden="1" x14ac:dyDescent="0.15"/>
    <row r="10549" hidden="1" x14ac:dyDescent="0.15"/>
    <row r="10550" hidden="1" x14ac:dyDescent="0.15"/>
    <row r="10551" hidden="1" x14ac:dyDescent="0.15"/>
    <row r="10552" hidden="1" x14ac:dyDescent="0.15"/>
    <row r="10553" hidden="1" x14ac:dyDescent="0.15"/>
    <row r="10554" hidden="1" x14ac:dyDescent="0.15"/>
    <row r="10555" hidden="1" x14ac:dyDescent="0.15"/>
    <row r="10556" hidden="1" x14ac:dyDescent="0.15"/>
    <row r="10557" hidden="1" x14ac:dyDescent="0.15"/>
    <row r="10558" hidden="1" x14ac:dyDescent="0.15"/>
    <row r="10559" hidden="1" x14ac:dyDescent="0.15"/>
    <row r="10560" hidden="1" x14ac:dyDescent="0.15"/>
    <row r="10561" hidden="1" x14ac:dyDescent="0.15"/>
    <row r="10562" hidden="1" x14ac:dyDescent="0.15"/>
    <row r="10563" hidden="1" x14ac:dyDescent="0.15"/>
    <row r="10564" hidden="1" x14ac:dyDescent="0.15"/>
    <row r="10565" hidden="1" x14ac:dyDescent="0.15"/>
    <row r="10566" hidden="1" x14ac:dyDescent="0.15"/>
    <row r="10567" hidden="1" x14ac:dyDescent="0.15"/>
    <row r="10568" hidden="1" x14ac:dyDescent="0.15"/>
    <row r="10569" hidden="1" x14ac:dyDescent="0.15"/>
    <row r="10570" hidden="1" x14ac:dyDescent="0.15"/>
    <row r="10571" hidden="1" x14ac:dyDescent="0.15"/>
    <row r="10572" hidden="1" x14ac:dyDescent="0.15"/>
    <row r="10573" hidden="1" x14ac:dyDescent="0.15"/>
    <row r="10574" hidden="1" x14ac:dyDescent="0.15"/>
    <row r="10575" hidden="1" x14ac:dyDescent="0.15"/>
    <row r="10576" hidden="1" x14ac:dyDescent="0.15"/>
    <row r="10577" hidden="1" x14ac:dyDescent="0.15"/>
    <row r="10578" hidden="1" x14ac:dyDescent="0.15"/>
    <row r="10579" hidden="1" x14ac:dyDescent="0.15"/>
    <row r="10580" hidden="1" x14ac:dyDescent="0.15"/>
    <row r="10581" hidden="1" x14ac:dyDescent="0.15"/>
    <row r="10582" hidden="1" x14ac:dyDescent="0.15"/>
    <row r="10583" hidden="1" x14ac:dyDescent="0.15"/>
    <row r="10584" hidden="1" x14ac:dyDescent="0.15"/>
    <row r="10585" hidden="1" x14ac:dyDescent="0.15"/>
    <row r="10586" hidden="1" x14ac:dyDescent="0.15"/>
    <row r="10587" hidden="1" x14ac:dyDescent="0.15"/>
    <row r="10588" hidden="1" x14ac:dyDescent="0.15"/>
    <row r="10589" hidden="1" x14ac:dyDescent="0.15"/>
    <row r="10590" hidden="1" x14ac:dyDescent="0.15"/>
    <row r="10591" hidden="1" x14ac:dyDescent="0.15"/>
    <row r="10592" hidden="1" x14ac:dyDescent="0.15"/>
    <row r="10593" hidden="1" x14ac:dyDescent="0.15"/>
    <row r="10594" hidden="1" x14ac:dyDescent="0.15"/>
    <row r="10595" hidden="1" x14ac:dyDescent="0.15"/>
    <row r="10596" hidden="1" x14ac:dyDescent="0.15"/>
    <row r="10597" hidden="1" x14ac:dyDescent="0.15"/>
    <row r="10598" hidden="1" x14ac:dyDescent="0.15"/>
    <row r="10599" hidden="1" x14ac:dyDescent="0.15"/>
    <row r="10600" hidden="1" x14ac:dyDescent="0.15"/>
    <row r="10601" hidden="1" x14ac:dyDescent="0.15"/>
    <row r="10602" hidden="1" x14ac:dyDescent="0.15"/>
    <row r="10603" hidden="1" x14ac:dyDescent="0.15"/>
    <row r="10604" hidden="1" x14ac:dyDescent="0.15"/>
    <row r="10605" hidden="1" x14ac:dyDescent="0.15"/>
    <row r="10606" hidden="1" x14ac:dyDescent="0.15"/>
    <row r="10607" hidden="1" x14ac:dyDescent="0.15"/>
    <row r="10608" hidden="1" x14ac:dyDescent="0.15"/>
    <row r="10609" hidden="1" x14ac:dyDescent="0.15"/>
    <row r="10610" hidden="1" x14ac:dyDescent="0.15"/>
    <row r="10611" hidden="1" x14ac:dyDescent="0.15"/>
    <row r="10612" hidden="1" x14ac:dyDescent="0.15"/>
    <row r="10613" hidden="1" x14ac:dyDescent="0.15"/>
    <row r="10614" hidden="1" x14ac:dyDescent="0.15"/>
    <row r="10615" hidden="1" x14ac:dyDescent="0.15"/>
    <row r="10616" hidden="1" x14ac:dyDescent="0.15"/>
    <row r="10617" hidden="1" x14ac:dyDescent="0.15"/>
    <row r="10618" hidden="1" x14ac:dyDescent="0.15"/>
    <row r="10619" hidden="1" x14ac:dyDescent="0.15"/>
    <row r="10620" hidden="1" x14ac:dyDescent="0.15"/>
    <row r="10621" hidden="1" x14ac:dyDescent="0.15"/>
    <row r="10622" hidden="1" x14ac:dyDescent="0.15"/>
    <row r="10623" hidden="1" x14ac:dyDescent="0.15"/>
    <row r="10624" hidden="1" x14ac:dyDescent="0.15"/>
    <row r="10625" hidden="1" x14ac:dyDescent="0.15"/>
    <row r="10626" hidden="1" x14ac:dyDescent="0.15"/>
    <row r="10627" hidden="1" x14ac:dyDescent="0.15"/>
    <row r="10628" hidden="1" x14ac:dyDescent="0.15"/>
    <row r="10629" hidden="1" x14ac:dyDescent="0.15"/>
    <row r="10630" hidden="1" x14ac:dyDescent="0.15"/>
    <row r="10631" hidden="1" x14ac:dyDescent="0.15"/>
    <row r="10632" hidden="1" x14ac:dyDescent="0.15"/>
    <row r="10633" hidden="1" x14ac:dyDescent="0.15"/>
    <row r="10634" hidden="1" x14ac:dyDescent="0.15"/>
    <row r="10635" hidden="1" x14ac:dyDescent="0.15"/>
    <row r="10636" hidden="1" x14ac:dyDescent="0.15"/>
    <row r="10637" hidden="1" x14ac:dyDescent="0.15"/>
    <row r="10638" hidden="1" x14ac:dyDescent="0.15"/>
    <row r="10639" hidden="1" x14ac:dyDescent="0.15"/>
    <row r="10640" hidden="1" x14ac:dyDescent="0.15"/>
    <row r="10641" hidden="1" x14ac:dyDescent="0.15"/>
    <row r="10642" hidden="1" x14ac:dyDescent="0.15"/>
    <row r="10643" hidden="1" x14ac:dyDescent="0.15"/>
    <row r="10644" hidden="1" x14ac:dyDescent="0.15"/>
    <row r="10645" hidden="1" x14ac:dyDescent="0.15"/>
    <row r="10646" hidden="1" x14ac:dyDescent="0.15"/>
    <row r="10647" hidden="1" x14ac:dyDescent="0.15"/>
    <row r="10648" hidden="1" x14ac:dyDescent="0.15"/>
    <row r="10649" hidden="1" x14ac:dyDescent="0.15"/>
    <row r="10650" hidden="1" x14ac:dyDescent="0.15"/>
    <row r="10651" hidden="1" x14ac:dyDescent="0.15"/>
    <row r="10652" hidden="1" x14ac:dyDescent="0.15"/>
    <row r="10653" hidden="1" x14ac:dyDescent="0.15"/>
    <row r="10654" hidden="1" x14ac:dyDescent="0.15"/>
    <row r="10655" hidden="1" x14ac:dyDescent="0.15"/>
    <row r="10656" hidden="1" x14ac:dyDescent="0.15"/>
    <row r="10657" hidden="1" x14ac:dyDescent="0.15"/>
    <row r="10658" hidden="1" x14ac:dyDescent="0.15"/>
    <row r="10659" hidden="1" x14ac:dyDescent="0.15"/>
    <row r="10660" hidden="1" x14ac:dyDescent="0.15"/>
    <row r="10661" hidden="1" x14ac:dyDescent="0.15"/>
    <row r="10662" hidden="1" x14ac:dyDescent="0.15"/>
    <row r="10663" hidden="1" x14ac:dyDescent="0.15"/>
    <row r="10664" hidden="1" x14ac:dyDescent="0.15"/>
    <row r="10665" hidden="1" x14ac:dyDescent="0.15"/>
    <row r="10666" hidden="1" x14ac:dyDescent="0.15"/>
    <row r="10667" hidden="1" x14ac:dyDescent="0.15"/>
    <row r="10668" hidden="1" x14ac:dyDescent="0.15"/>
    <row r="10669" hidden="1" x14ac:dyDescent="0.15"/>
    <row r="10670" hidden="1" x14ac:dyDescent="0.15"/>
    <row r="10671" hidden="1" x14ac:dyDescent="0.15"/>
    <row r="10672" hidden="1" x14ac:dyDescent="0.15"/>
    <row r="10673" hidden="1" x14ac:dyDescent="0.15"/>
    <row r="10674" hidden="1" x14ac:dyDescent="0.15"/>
    <row r="10675" hidden="1" x14ac:dyDescent="0.15"/>
    <row r="10676" hidden="1" x14ac:dyDescent="0.15"/>
    <row r="10677" hidden="1" x14ac:dyDescent="0.15"/>
    <row r="10678" hidden="1" x14ac:dyDescent="0.15"/>
    <row r="10679" hidden="1" x14ac:dyDescent="0.15"/>
    <row r="10680" hidden="1" x14ac:dyDescent="0.15"/>
    <row r="10681" hidden="1" x14ac:dyDescent="0.15"/>
    <row r="10682" hidden="1" x14ac:dyDescent="0.15"/>
    <row r="10683" hidden="1" x14ac:dyDescent="0.15"/>
    <row r="10684" hidden="1" x14ac:dyDescent="0.15"/>
    <row r="10685" hidden="1" x14ac:dyDescent="0.15"/>
    <row r="10686" hidden="1" x14ac:dyDescent="0.15"/>
    <row r="10687" hidden="1" x14ac:dyDescent="0.15"/>
    <row r="10688" hidden="1" x14ac:dyDescent="0.15"/>
    <row r="10689" hidden="1" x14ac:dyDescent="0.15"/>
    <row r="10690" hidden="1" x14ac:dyDescent="0.15"/>
    <row r="10691" hidden="1" x14ac:dyDescent="0.15"/>
    <row r="10692" hidden="1" x14ac:dyDescent="0.15"/>
    <row r="10693" hidden="1" x14ac:dyDescent="0.15"/>
    <row r="10694" hidden="1" x14ac:dyDescent="0.15"/>
    <row r="10695" hidden="1" x14ac:dyDescent="0.15"/>
    <row r="10696" hidden="1" x14ac:dyDescent="0.15"/>
    <row r="10697" hidden="1" x14ac:dyDescent="0.15"/>
    <row r="10698" hidden="1" x14ac:dyDescent="0.15"/>
    <row r="10699" hidden="1" x14ac:dyDescent="0.15"/>
    <row r="10700" hidden="1" x14ac:dyDescent="0.15"/>
    <row r="10701" hidden="1" x14ac:dyDescent="0.15"/>
    <row r="10702" hidden="1" x14ac:dyDescent="0.15"/>
    <row r="10703" hidden="1" x14ac:dyDescent="0.15"/>
    <row r="10704" hidden="1" x14ac:dyDescent="0.15"/>
    <row r="10705" hidden="1" x14ac:dyDescent="0.15"/>
    <row r="10706" hidden="1" x14ac:dyDescent="0.15"/>
    <row r="10707" hidden="1" x14ac:dyDescent="0.15"/>
    <row r="10708" hidden="1" x14ac:dyDescent="0.15"/>
    <row r="10709" hidden="1" x14ac:dyDescent="0.15"/>
    <row r="10710" hidden="1" x14ac:dyDescent="0.15"/>
    <row r="10711" hidden="1" x14ac:dyDescent="0.15"/>
    <row r="10712" hidden="1" x14ac:dyDescent="0.15"/>
    <row r="10713" hidden="1" x14ac:dyDescent="0.15"/>
    <row r="10714" hidden="1" x14ac:dyDescent="0.15"/>
    <row r="10715" hidden="1" x14ac:dyDescent="0.15"/>
    <row r="10716" hidden="1" x14ac:dyDescent="0.15"/>
    <row r="10717" hidden="1" x14ac:dyDescent="0.15"/>
    <row r="10718" hidden="1" x14ac:dyDescent="0.15"/>
    <row r="10719" hidden="1" x14ac:dyDescent="0.15"/>
    <row r="10720" hidden="1" x14ac:dyDescent="0.15"/>
    <row r="10721" hidden="1" x14ac:dyDescent="0.15"/>
    <row r="10722" hidden="1" x14ac:dyDescent="0.15"/>
    <row r="10723" hidden="1" x14ac:dyDescent="0.15"/>
    <row r="10724" hidden="1" x14ac:dyDescent="0.15"/>
    <row r="10725" hidden="1" x14ac:dyDescent="0.15"/>
    <row r="10726" hidden="1" x14ac:dyDescent="0.15"/>
    <row r="10727" hidden="1" x14ac:dyDescent="0.15"/>
    <row r="10728" hidden="1" x14ac:dyDescent="0.15"/>
    <row r="10729" hidden="1" x14ac:dyDescent="0.15"/>
    <row r="10730" hidden="1" x14ac:dyDescent="0.15"/>
    <row r="10731" hidden="1" x14ac:dyDescent="0.15"/>
    <row r="10732" hidden="1" x14ac:dyDescent="0.15"/>
    <row r="10733" hidden="1" x14ac:dyDescent="0.15"/>
    <row r="10734" hidden="1" x14ac:dyDescent="0.15"/>
    <row r="10735" hidden="1" x14ac:dyDescent="0.15"/>
    <row r="10736" hidden="1" x14ac:dyDescent="0.15"/>
    <row r="10737" hidden="1" x14ac:dyDescent="0.15"/>
    <row r="10738" hidden="1" x14ac:dyDescent="0.15"/>
    <row r="10739" hidden="1" x14ac:dyDescent="0.15"/>
    <row r="10740" hidden="1" x14ac:dyDescent="0.15"/>
    <row r="10741" hidden="1" x14ac:dyDescent="0.15"/>
    <row r="10742" hidden="1" x14ac:dyDescent="0.15"/>
    <row r="10743" hidden="1" x14ac:dyDescent="0.15"/>
    <row r="10744" hidden="1" x14ac:dyDescent="0.15"/>
    <row r="10745" hidden="1" x14ac:dyDescent="0.15"/>
    <row r="10746" hidden="1" x14ac:dyDescent="0.15"/>
    <row r="10747" hidden="1" x14ac:dyDescent="0.15"/>
    <row r="10748" hidden="1" x14ac:dyDescent="0.15"/>
    <row r="10749" hidden="1" x14ac:dyDescent="0.15"/>
    <row r="10750" hidden="1" x14ac:dyDescent="0.15"/>
    <row r="10751" hidden="1" x14ac:dyDescent="0.15"/>
    <row r="10752" hidden="1" x14ac:dyDescent="0.15"/>
    <row r="10753" hidden="1" x14ac:dyDescent="0.15"/>
    <row r="10754" hidden="1" x14ac:dyDescent="0.15"/>
    <row r="10755" hidden="1" x14ac:dyDescent="0.15"/>
    <row r="10756" hidden="1" x14ac:dyDescent="0.15"/>
    <row r="10757" hidden="1" x14ac:dyDescent="0.15"/>
    <row r="10758" hidden="1" x14ac:dyDescent="0.15"/>
    <row r="10759" hidden="1" x14ac:dyDescent="0.15"/>
    <row r="10760" hidden="1" x14ac:dyDescent="0.15"/>
    <row r="10761" hidden="1" x14ac:dyDescent="0.15"/>
    <row r="10762" hidden="1" x14ac:dyDescent="0.15"/>
    <row r="10763" hidden="1" x14ac:dyDescent="0.15"/>
    <row r="10764" hidden="1" x14ac:dyDescent="0.15"/>
    <row r="10765" hidden="1" x14ac:dyDescent="0.15"/>
    <row r="10766" hidden="1" x14ac:dyDescent="0.15"/>
    <row r="10767" hidden="1" x14ac:dyDescent="0.15"/>
    <row r="10768" hidden="1" x14ac:dyDescent="0.15"/>
    <row r="10769" hidden="1" x14ac:dyDescent="0.15"/>
    <row r="10770" hidden="1" x14ac:dyDescent="0.15"/>
    <row r="10771" hidden="1" x14ac:dyDescent="0.15"/>
    <row r="10772" hidden="1" x14ac:dyDescent="0.15"/>
    <row r="10773" hidden="1" x14ac:dyDescent="0.15"/>
    <row r="10774" hidden="1" x14ac:dyDescent="0.15"/>
    <row r="10775" hidden="1" x14ac:dyDescent="0.15"/>
    <row r="10776" hidden="1" x14ac:dyDescent="0.15"/>
    <row r="10777" hidden="1" x14ac:dyDescent="0.15"/>
    <row r="10778" hidden="1" x14ac:dyDescent="0.15"/>
    <row r="10779" hidden="1" x14ac:dyDescent="0.15"/>
    <row r="10780" hidden="1" x14ac:dyDescent="0.15"/>
    <row r="10781" hidden="1" x14ac:dyDescent="0.15"/>
    <row r="10782" hidden="1" x14ac:dyDescent="0.15"/>
    <row r="10783" hidden="1" x14ac:dyDescent="0.15"/>
    <row r="10784" hidden="1" x14ac:dyDescent="0.15"/>
    <row r="10785" hidden="1" x14ac:dyDescent="0.15"/>
    <row r="10786" hidden="1" x14ac:dyDescent="0.15"/>
    <row r="10787" hidden="1" x14ac:dyDescent="0.15"/>
    <row r="10788" hidden="1" x14ac:dyDescent="0.15"/>
    <row r="10789" hidden="1" x14ac:dyDescent="0.15"/>
    <row r="10790" hidden="1" x14ac:dyDescent="0.15"/>
    <row r="10791" hidden="1" x14ac:dyDescent="0.15"/>
    <row r="10792" hidden="1" x14ac:dyDescent="0.15"/>
    <row r="10793" hidden="1" x14ac:dyDescent="0.15"/>
    <row r="10794" hidden="1" x14ac:dyDescent="0.15"/>
    <row r="10795" hidden="1" x14ac:dyDescent="0.15"/>
    <row r="10796" hidden="1" x14ac:dyDescent="0.15"/>
    <row r="10797" hidden="1" x14ac:dyDescent="0.15"/>
    <row r="10798" hidden="1" x14ac:dyDescent="0.15"/>
    <row r="10799" hidden="1" x14ac:dyDescent="0.15"/>
    <row r="10800" hidden="1" x14ac:dyDescent="0.15"/>
    <row r="10801" hidden="1" x14ac:dyDescent="0.15"/>
    <row r="10802" hidden="1" x14ac:dyDescent="0.15"/>
    <row r="10803" hidden="1" x14ac:dyDescent="0.15"/>
    <row r="10804" hidden="1" x14ac:dyDescent="0.15"/>
    <row r="10805" hidden="1" x14ac:dyDescent="0.15"/>
    <row r="10806" hidden="1" x14ac:dyDescent="0.15"/>
    <row r="10807" hidden="1" x14ac:dyDescent="0.15"/>
    <row r="10808" hidden="1" x14ac:dyDescent="0.15"/>
    <row r="10809" hidden="1" x14ac:dyDescent="0.15"/>
    <row r="10810" hidden="1" x14ac:dyDescent="0.15"/>
    <row r="10811" hidden="1" x14ac:dyDescent="0.15"/>
    <row r="10812" hidden="1" x14ac:dyDescent="0.15"/>
    <row r="10813" hidden="1" x14ac:dyDescent="0.15"/>
    <row r="10814" hidden="1" x14ac:dyDescent="0.15"/>
    <row r="10815" hidden="1" x14ac:dyDescent="0.15"/>
    <row r="10816" hidden="1" x14ac:dyDescent="0.15"/>
    <row r="10817" hidden="1" x14ac:dyDescent="0.15"/>
    <row r="10818" hidden="1" x14ac:dyDescent="0.15"/>
    <row r="10819" hidden="1" x14ac:dyDescent="0.15"/>
    <row r="10820" hidden="1" x14ac:dyDescent="0.15"/>
    <row r="10821" hidden="1" x14ac:dyDescent="0.15"/>
    <row r="10822" hidden="1" x14ac:dyDescent="0.15"/>
    <row r="10823" hidden="1" x14ac:dyDescent="0.15"/>
    <row r="10824" hidden="1" x14ac:dyDescent="0.15"/>
    <row r="10825" hidden="1" x14ac:dyDescent="0.15"/>
    <row r="10826" hidden="1" x14ac:dyDescent="0.15"/>
    <row r="10827" hidden="1" x14ac:dyDescent="0.15"/>
    <row r="10828" hidden="1" x14ac:dyDescent="0.15"/>
    <row r="10829" hidden="1" x14ac:dyDescent="0.15"/>
    <row r="10830" hidden="1" x14ac:dyDescent="0.15"/>
    <row r="10831" hidden="1" x14ac:dyDescent="0.15"/>
    <row r="10832" hidden="1" x14ac:dyDescent="0.15"/>
    <row r="10833" hidden="1" x14ac:dyDescent="0.15"/>
    <row r="10834" hidden="1" x14ac:dyDescent="0.15"/>
    <row r="10835" hidden="1" x14ac:dyDescent="0.15"/>
    <row r="10836" hidden="1" x14ac:dyDescent="0.15"/>
    <row r="10837" hidden="1" x14ac:dyDescent="0.15"/>
    <row r="10838" hidden="1" x14ac:dyDescent="0.15"/>
    <row r="10839" hidden="1" x14ac:dyDescent="0.15"/>
    <row r="10840" hidden="1" x14ac:dyDescent="0.15"/>
    <row r="10841" hidden="1" x14ac:dyDescent="0.15"/>
    <row r="10842" hidden="1" x14ac:dyDescent="0.15"/>
    <row r="10843" hidden="1" x14ac:dyDescent="0.15"/>
    <row r="10844" hidden="1" x14ac:dyDescent="0.15"/>
    <row r="10845" hidden="1" x14ac:dyDescent="0.15"/>
    <row r="10846" hidden="1" x14ac:dyDescent="0.15"/>
    <row r="10847" hidden="1" x14ac:dyDescent="0.15"/>
    <row r="10848" hidden="1" x14ac:dyDescent="0.15"/>
    <row r="10849" hidden="1" x14ac:dyDescent="0.15"/>
    <row r="10850" hidden="1" x14ac:dyDescent="0.15"/>
    <row r="10851" hidden="1" x14ac:dyDescent="0.15"/>
    <row r="10852" hidden="1" x14ac:dyDescent="0.15"/>
    <row r="10853" hidden="1" x14ac:dyDescent="0.15"/>
    <row r="10854" hidden="1" x14ac:dyDescent="0.15"/>
    <row r="10855" hidden="1" x14ac:dyDescent="0.15"/>
    <row r="10856" hidden="1" x14ac:dyDescent="0.15"/>
    <row r="10857" hidden="1" x14ac:dyDescent="0.15"/>
    <row r="10858" hidden="1" x14ac:dyDescent="0.15"/>
    <row r="10859" hidden="1" x14ac:dyDescent="0.15"/>
    <row r="10860" hidden="1" x14ac:dyDescent="0.15"/>
    <row r="10861" hidden="1" x14ac:dyDescent="0.15"/>
    <row r="10862" hidden="1" x14ac:dyDescent="0.15"/>
    <row r="10863" hidden="1" x14ac:dyDescent="0.15"/>
    <row r="10864" hidden="1" x14ac:dyDescent="0.15"/>
    <row r="10865" hidden="1" x14ac:dyDescent="0.15"/>
    <row r="10866" hidden="1" x14ac:dyDescent="0.15"/>
    <row r="10867" hidden="1" x14ac:dyDescent="0.15"/>
    <row r="10868" hidden="1" x14ac:dyDescent="0.15"/>
    <row r="10869" hidden="1" x14ac:dyDescent="0.15"/>
    <row r="10870" hidden="1" x14ac:dyDescent="0.15"/>
    <row r="10871" hidden="1" x14ac:dyDescent="0.15"/>
    <row r="10872" hidden="1" x14ac:dyDescent="0.15"/>
    <row r="10873" hidden="1" x14ac:dyDescent="0.15"/>
    <row r="10874" hidden="1" x14ac:dyDescent="0.15"/>
    <row r="10875" hidden="1" x14ac:dyDescent="0.15"/>
    <row r="10876" hidden="1" x14ac:dyDescent="0.15"/>
    <row r="10877" hidden="1" x14ac:dyDescent="0.15"/>
    <row r="10878" hidden="1" x14ac:dyDescent="0.15"/>
    <row r="10879" hidden="1" x14ac:dyDescent="0.15"/>
    <row r="10880" hidden="1" x14ac:dyDescent="0.15"/>
    <row r="10881" hidden="1" x14ac:dyDescent="0.15"/>
    <row r="10882" hidden="1" x14ac:dyDescent="0.15"/>
    <row r="10883" hidden="1" x14ac:dyDescent="0.15"/>
    <row r="10884" hidden="1" x14ac:dyDescent="0.15"/>
    <row r="10885" hidden="1" x14ac:dyDescent="0.15"/>
    <row r="10886" hidden="1" x14ac:dyDescent="0.15"/>
    <row r="10887" hidden="1" x14ac:dyDescent="0.15"/>
    <row r="10888" hidden="1" x14ac:dyDescent="0.15"/>
    <row r="10889" hidden="1" x14ac:dyDescent="0.15"/>
    <row r="10890" hidden="1" x14ac:dyDescent="0.15"/>
    <row r="10891" hidden="1" x14ac:dyDescent="0.15"/>
    <row r="10892" hidden="1" x14ac:dyDescent="0.15"/>
    <row r="10893" hidden="1" x14ac:dyDescent="0.15"/>
    <row r="10894" hidden="1" x14ac:dyDescent="0.15"/>
    <row r="10895" hidden="1" x14ac:dyDescent="0.15"/>
    <row r="10896" hidden="1" x14ac:dyDescent="0.15"/>
    <row r="10897" hidden="1" x14ac:dyDescent="0.15"/>
    <row r="10898" hidden="1" x14ac:dyDescent="0.15"/>
    <row r="10899" hidden="1" x14ac:dyDescent="0.15"/>
    <row r="10900" hidden="1" x14ac:dyDescent="0.15"/>
    <row r="10901" hidden="1" x14ac:dyDescent="0.15"/>
    <row r="10902" hidden="1" x14ac:dyDescent="0.15"/>
    <row r="10903" hidden="1" x14ac:dyDescent="0.15"/>
    <row r="10904" hidden="1" x14ac:dyDescent="0.15"/>
    <row r="10905" hidden="1" x14ac:dyDescent="0.15"/>
    <row r="10906" hidden="1" x14ac:dyDescent="0.15"/>
    <row r="10907" hidden="1" x14ac:dyDescent="0.15"/>
    <row r="10908" hidden="1" x14ac:dyDescent="0.15"/>
    <row r="10909" hidden="1" x14ac:dyDescent="0.15"/>
    <row r="10910" hidden="1" x14ac:dyDescent="0.15"/>
    <row r="10911" hidden="1" x14ac:dyDescent="0.15"/>
    <row r="10912" hidden="1" x14ac:dyDescent="0.15"/>
    <row r="10913" hidden="1" x14ac:dyDescent="0.15"/>
    <row r="10914" hidden="1" x14ac:dyDescent="0.15"/>
    <row r="10915" hidden="1" x14ac:dyDescent="0.15"/>
    <row r="10916" hidden="1" x14ac:dyDescent="0.15"/>
    <row r="10917" hidden="1" x14ac:dyDescent="0.15"/>
    <row r="10918" hidden="1" x14ac:dyDescent="0.15"/>
    <row r="10919" hidden="1" x14ac:dyDescent="0.15"/>
    <row r="10920" hidden="1" x14ac:dyDescent="0.15"/>
    <row r="10921" hidden="1" x14ac:dyDescent="0.15"/>
    <row r="10922" hidden="1" x14ac:dyDescent="0.15"/>
    <row r="10923" hidden="1" x14ac:dyDescent="0.15"/>
    <row r="10924" hidden="1" x14ac:dyDescent="0.15"/>
    <row r="10925" hidden="1" x14ac:dyDescent="0.15"/>
    <row r="10926" hidden="1" x14ac:dyDescent="0.15"/>
    <row r="10927" hidden="1" x14ac:dyDescent="0.15"/>
    <row r="10928" hidden="1" x14ac:dyDescent="0.15"/>
    <row r="10929" hidden="1" x14ac:dyDescent="0.15"/>
    <row r="10930" hidden="1" x14ac:dyDescent="0.15"/>
    <row r="10931" hidden="1" x14ac:dyDescent="0.15"/>
    <row r="10932" hidden="1" x14ac:dyDescent="0.15"/>
    <row r="10933" hidden="1" x14ac:dyDescent="0.15"/>
    <row r="10934" hidden="1" x14ac:dyDescent="0.15"/>
    <row r="10935" hidden="1" x14ac:dyDescent="0.15"/>
    <row r="10936" hidden="1" x14ac:dyDescent="0.15"/>
    <row r="10937" hidden="1" x14ac:dyDescent="0.15"/>
    <row r="10938" hidden="1" x14ac:dyDescent="0.15"/>
    <row r="10939" hidden="1" x14ac:dyDescent="0.15"/>
    <row r="10940" hidden="1" x14ac:dyDescent="0.15"/>
    <row r="10941" hidden="1" x14ac:dyDescent="0.15"/>
    <row r="10942" hidden="1" x14ac:dyDescent="0.15"/>
    <row r="10943" hidden="1" x14ac:dyDescent="0.15"/>
    <row r="10944" hidden="1" x14ac:dyDescent="0.15"/>
    <row r="10945" hidden="1" x14ac:dyDescent="0.15"/>
    <row r="10946" hidden="1" x14ac:dyDescent="0.15"/>
    <row r="10947" hidden="1" x14ac:dyDescent="0.15"/>
    <row r="10948" hidden="1" x14ac:dyDescent="0.15"/>
    <row r="10949" hidden="1" x14ac:dyDescent="0.15"/>
    <row r="10950" hidden="1" x14ac:dyDescent="0.15"/>
    <row r="10951" hidden="1" x14ac:dyDescent="0.15"/>
    <row r="10952" hidden="1" x14ac:dyDescent="0.15"/>
    <row r="10953" hidden="1" x14ac:dyDescent="0.15"/>
    <row r="10954" hidden="1" x14ac:dyDescent="0.15"/>
    <row r="10955" hidden="1" x14ac:dyDescent="0.15"/>
    <row r="10956" hidden="1" x14ac:dyDescent="0.15"/>
    <row r="10957" hidden="1" x14ac:dyDescent="0.15"/>
    <row r="10958" hidden="1" x14ac:dyDescent="0.15"/>
    <row r="10959" hidden="1" x14ac:dyDescent="0.15"/>
    <row r="10960" hidden="1" x14ac:dyDescent="0.15"/>
    <row r="10961" hidden="1" x14ac:dyDescent="0.15"/>
    <row r="10962" hidden="1" x14ac:dyDescent="0.15"/>
    <row r="10963" hidden="1" x14ac:dyDescent="0.15"/>
    <row r="10964" hidden="1" x14ac:dyDescent="0.15"/>
    <row r="10965" hidden="1" x14ac:dyDescent="0.15"/>
    <row r="10966" hidden="1" x14ac:dyDescent="0.15"/>
    <row r="10967" hidden="1" x14ac:dyDescent="0.15"/>
    <row r="10968" hidden="1" x14ac:dyDescent="0.15"/>
    <row r="10969" hidden="1" x14ac:dyDescent="0.15"/>
    <row r="10970" hidden="1" x14ac:dyDescent="0.15"/>
    <row r="10971" hidden="1" x14ac:dyDescent="0.15"/>
    <row r="10972" hidden="1" x14ac:dyDescent="0.15"/>
    <row r="10973" hidden="1" x14ac:dyDescent="0.15"/>
    <row r="10974" hidden="1" x14ac:dyDescent="0.15"/>
    <row r="10975" hidden="1" x14ac:dyDescent="0.15"/>
    <row r="10976" hidden="1" x14ac:dyDescent="0.15"/>
    <row r="10977" hidden="1" x14ac:dyDescent="0.15"/>
    <row r="10978" hidden="1" x14ac:dyDescent="0.15"/>
    <row r="10979" hidden="1" x14ac:dyDescent="0.15"/>
    <row r="10980" hidden="1" x14ac:dyDescent="0.15"/>
    <row r="10981" hidden="1" x14ac:dyDescent="0.15"/>
    <row r="10982" hidden="1" x14ac:dyDescent="0.15"/>
    <row r="10983" hidden="1" x14ac:dyDescent="0.15"/>
    <row r="10984" hidden="1" x14ac:dyDescent="0.15"/>
    <row r="10985" hidden="1" x14ac:dyDescent="0.15"/>
    <row r="10986" hidden="1" x14ac:dyDescent="0.15"/>
    <row r="10987" hidden="1" x14ac:dyDescent="0.15"/>
    <row r="10988" hidden="1" x14ac:dyDescent="0.15"/>
    <row r="10989" hidden="1" x14ac:dyDescent="0.15"/>
    <row r="10990" hidden="1" x14ac:dyDescent="0.15"/>
    <row r="10991" hidden="1" x14ac:dyDescent="0.15"/>
    <row r="10992" hidden="1" x14ac:dyDescent="0.15"/>
    <row r="10993" hidden="1" x14ac:dyDescent="0.15"/>
    <row r="10994" hidden="1" x14ac:dyDescent="0.15"/>
    <row r="10995" hidden="1" x14ac:dyDescent="0.15"/>
    <row r="10996" hidden="1" x14ac:dyDescent="0.15"/>
    <row r="10997" hidden="1" x14ac:dyDescent="0.15"/>
    <row r="10998" hidden="1" x14ac:dyDescent="0.15"/>
    <row r="10999" hidden="1" x14ac:dyDescent="0.15"/>
    <row r="11000" hidden="1" x14ac:dyDescent="0.15"/>
    <row r="11001" hidden="1" x14ac:dyDescent="0.15"/>
    <row r="11002" hidden="1" x14ac:dyDescent="0.15"/>
    <row r="11003" hidden="1" x14ac:dyDescent="0.15"/>
    <row r="11004" hidden="1" x14ac:dyDescent="0.15"/>
    <row r="11005" hidden="1" x14ac:dyDescent="0.15"/>
    <row r="11006" hidden="1" x14ac:dyDescent="0.15"/>
    <row r="11007" hidden="1" x14ac:dyDescent="0.15"/>
    <row r="11008" hidden="1" x14ac:dyDescent="0.15"/>
    <row r="11009" hidden="1" x14ac:dyDescent="0.15"/>
    <row r="11010" hidden="1" x14ac:dyDescent="0.15"/>
    <row r="11011" hidden="1" x14ac:dyDescent="0.15"/>
    <row r="11012" hidden="1" x14ac:dyDescent="0.15"/>
    <row r="11013" hidden="1" x14ac:dyDescent="0.15"/>
    <row r="11014" hidden="1" x14ac:dyDescent="0.15"/>
    <row r="11015" hidden="1" x14ac:dyDescent="0.15"/>
    <row r="11016" hidden="1" x14ac:dyDescent="0.15"/>
    <row r="11017" hidden="1" x14ac:dyDescent="0.15"/>
    <row r="11018" hidden="1" x14ac:dyDescent="0.15"/>
    <row r="11019" hidden="1" x14ac:dyDescent="0.15"/>
    <row r="11020" hidden="1" x14ac:dyDescent="0.15"/>
    <row r="11021" hidden="1" x14ac:dyDescent="0.15"/>
    <row r="11022" hidden="1" x14ac:dyDescent="0.15"/>
    <row r="11023" hidden="1" x14ac:dyDescent="0.15"/>
    <row r="11024" hidden="1" x14ac:dyDescent="0.15"/>
    <row r="11025" hidden="1" x14ac:dyDescent="0.15"/>
    <row r="11026" hidden="1" x14ac:dyDescent="0.15"/>
    <row r="11027" hidden="1" x14ac:dyDescent="0.15"/>
    <row r="11028" hidden="1" x14ac:dyDescent="0.15"/>
    <row r="11029" hidden="1" x14ac:dyDescent="0.15"/>
    <row r="11030" hidden="1" x14ac:dyDescent="0.15"/>
    <row r="11031" hidden="1" x14ac:dyDescent="0.15"/>
    <row r="11032" hidden="1" x14ac:dyDescent="0.15"/>
    <row r="11033" hidden="1" x14ac:dyDescent="0.15"/>
    <row r="11034" hidden="1" x14ac:dyDescent="0.15"/>
    <row r="11035" hidden="1" x14ac:dyDescent="0.15"/>
    <row r="11036" hidden="1" x14ac:dyDescent="0.15"/>
    <row r="11037" hidden="1" x14ac:dyDescent="0.15"/>
    <row r="11038" hidden="1" x14ac:dyDescent="0.15"/>
    <row r="11039" hidden="1" x14ac:dyDescent="0.15"/>
    <row r="11040" hidden="1" x14ac:dyDescent="0.15"/>
    <row r="11041" hidden="1" x14ac:dyDescent="0.15"/>
    <row r="11042" hidden="1" x14ac:dyDescent="0.15"/>
    <row r="11043" hidden="1" x14ac:dyDescent="0.15"/>
    <row r="11044" hidden="1" x14ac:dyDescent="0.15"/>
    <row r="11045" hidden="1" x14ac:dyDescent="0.15"/>
    <row r="11046" hidden="1" x14ac:dyDescent="0.15"/>
    <row r="11047" hidden="1" x14ac:dyDescent="0.15"/>
    <row r="11048" hidden="1" x14ac:dyDescent="0.15"/>
    <row r="11049" hidden="1" x14ac:dyDescent="0.15"/>
    <row r="11050" hidden="1" x14ac:dyDescent="0.15"/>
    <row r="11051" hidden="1" x14ac:dyDescent="0.15"/>
    <row r="11052" hidden="1" x14ac:dyDescent="0.15"/>
    <row r="11053" hidden="1" x14ac:dyDescent="0.15"/>
    <row r="11054" hidden="1" x14ac:dyDescent="0.15"/>
    <row r="11055" hidden="1" x14ac:dyDescent="0.15"/>
    <row r="11056" hidden="1" x14ac:dyDescent="0.15"/>
    <row r="11057" hidden="1" x14ac:dyDescent="0.15"/>
    <row r="11058" hidden="1" x14ac:dyDescent="0.15"/>
    <row r="11059" hidden="1" x14ac:dyDescent="0.15"/>
    <row r="11060" hidden="1" x14ac:dyDescent="0.15"/>
    <row r="11061" hidden="1" x14ac:dyDescent="0.15"/>
    <row r="11062" hidden="1" x14ac:dyDescent="0.15"/>
    <row r="11063" hidden="1" x14ac:dyDescent="0.15"/>
    <row r="11064" hidden="1" x14ac:dyDescent="0.15"/>
    <row r="11065" hidden="1" x14ac:dyDescent="0.15"/>
    <row r="11066" hidden="1" x14ac:dyDescent="0.15"/>
    <row r="11067" hidden="1" x14ac:dyDescent="0.15"/>
    <row r="11068" hidden="1" x14ac:dyDescent="0.15"/>
    <row r="11069" hidden="1" x14ac:dyDescent="0.15"/>
    <row r="11070" hidden="1" x14ac:dyDescent="0.15"/>
    <row r="11071" hidden="1" x14ac:dyDescent="0.15"/>
    <row r="11072" hidden="1" x14ac:dyDescent="0.15"/>
    <row r="11073" hidden="1" x14ac:dyDescent="0.15"/>
    <row r="11074" hidden="1" x14ac:dyDescent="0.15"/>
    <row r="11075" hidden="1" x14ac:dyDescent="0.15"/>
    <row r="11076" hidden="1" x14ac:dyDescent="0.15"/>
    <row r="11077" hidden="1" x14ac:dyDescent="0.15"/>
    <row r="11078" hidden="1" x14ac:dyDescent="0.15"/>
    <row r="11079" hidden="1" x14ac:dyDescent="0.15"/>
    <row r="11080" hidden="1" x14ac:dyDescent="0.15"/>
    <row r="11081" hidden="1" x14ac:dyDescent="0.15"/>
    <row r="11082" hidden="1" x14ac:dyDescent="0.15"/>
    <row r="11083" hidden="1" x14ac:dyDescent="0.15"/>
    <row r="11084" hidden="1" x14ac:dyDescent="0.15"/>
    <row r="11085" hidden="1" x14ac:dyDescent="0.15"/>
    <row r="11086" hidden="1" x14ac:dyDescent="0.15"/>
    <row r="11087" hidden="1" x14ac:dyDescent="0.15"/>
    <row r="11088" hidden="1" x14ac:dyDescent="0.15"/>
    <row r="11089" hidden="1" x14ac:dyDescent="0.15"/>
    <row r="11090" hidden="1" x14ac:dyDescent="0.15"/>
    <row r="11091" hidden="1" x14ac:dyDescent="0.15"/>
    <row r="11092" hidden="1" x14ac:dyDescent="0.15"/>
    <row r="11093" hidden="1" x14ac:dyDescent="0.15"/>
    <row r="11094" hidden="1" x14ac:dyDescent="0.15"/>
    <row r="11095" hidden="1" x14ac:dyDescent="0.15"/>
    <row r="11096" hidden="1" x14ac:dyDescent="0.15"/>
    <row r="11097" hidden="1" x14ac:dyDescent="0.15"/>
    <row r="11098" hidden="1" x14ac:dyDescent="0.15"/>
    <row r="11099" hidden="1" x14ac:dyDescent="0.15"/>
    <row r="11100" hidden="1" x14ac:dyDescent="0.15"/>
    <row r="11101" hidden="1" x14ac:dyDescent="0.15"/>
    <row r="11102" hidden="1" x14ac:dyDescent="0.15"/>
    <row r="11103" hidden="1" x14ac:dyDescent="0.15"/>
    <row r="11104" hidden="1" x14ac:dyDescent="0.15"/>
    <row r="11105" hidden="1" x14ac:dyDescent="0.15"/>
    <row r="11106" hidden="1" x14ac:dyDescent="0.15"/>
    <row r="11107" hidden="1" x14ac:dyDescent="0.15"/>
    <row r="11108" hidden="1" x14ac:dyDescent="0.15"/>
    <row r="11109" hidden="1" x14ac:dyDescent="0.15"/>
    <row r="11110" hidden="1" x14ac:dyDescent="0.15"/>
    <row r="11111" hidden="1" x14ac:dyDescent="0.15"/>
    <row r="11112" hidden="1" x14ac:dyDescent="0.15"/>
    <row r="11113" hidden="1" x14ac:dyDescent="0.15"/>
    <row r="11114" hidden="1" x14ac:dyDescent="0.15"/>
    <row r="11115" hidden="1" x14ac:dyDescent="0.15"/>
    <row r="11116" hidden="1" x14ac:dyDescent="0.15"/>
    <row r="11117" hidden="1" x14ac:dyDescent="0.15"/>
    <row r="11118" hidden="1" x14ac:dyDescent="0.15"/>
    <row r="11119" hidden="1" x14ac:dyDescent="0.15"/>
    <row r="11120" hidden="1" x14ac:dyDescent="0.15"/>
    <row r="11121" hidden="1" x14ac:dyDescent="0.15"/>
    <row r="11122" hidden="1" x14ac:dyDescent="0.15"/>
    <row r="11123" hidden="1" x14ac:dyDescent="0.15"/>
    <row r="11124" hidden="1" x14ac:dyDescent="0.15"/>
    <row r="11125" hidden="1" x14ac:dyDescent="0.15"/>
    <row r="11126" hidden="1" x14ac:dyDescent="0.15"/>
    <row r="11127" hidden="1" x14ac:dyDescent="0.15"/>
    <row r="11128" hidden="1" x14ac:dyDescent="0.15"/>
    <row r="11129" hidden="1" x14ac:dyDescent="0.15"/>
    <row r="11130" hidden="1" x14ac:dyDescent="0.15"/>
    <row r="11131" hidden="1" x14ac:dyDescent="0.15"/>
    <row r="11132" hidden="1" x14ac:dyDescent="0.15"/>
    <row r="11133" hidden="1" x14ac:dyDescent="0.15"/>
    <row r="11134" hidden="1" x14ac:dyDescent="0.15"/>
    <row r="11135" hidden="1" x14ac:dyDescent="0.15"/>
    <row r="11136" hidden="1" x14ac:dyDescent="0.15"/>
    <row r="11137" hidden="1" x14ac:dyDescent="0.15"/>
    <row r="11138" hidden="1" x14ac:dyDescent="0.15"/>
    <row r="11139" hidden="1" x14ac:dyDescent="0.15"/>
    <row r="11140" hidden="1" x14ac:dyDescent="0.15"/>
    <row r="11141" hidden="1" x14ac:dyDescent="0.15"/>
    <row r="11142" hidden="1" x14ac:dyDescent="0.15"/>
    <row r="11143" hidden="1" x14ac:dyDescent="0.15"/>
    <row r="11144" hidden="1" x14ac:dyDescent="0.15"/>
    <row r="11145" hidden="1" x14ac:dyDescent="0.15"/>
    <row r="11146" hidden="1" x14ac:dyDescent="0.15"/>
    <row r="11147" hidden="1" x14ac:dyDescent="0.15"/>
    <row r="11148" hidden="1" x14ac:dyDescent="0.15"/>
    <row r="11149" hidden="1" x14ac:dyDescent="0.15"/>
    <row r="11150" hidden="1" x14ac:dyDescent="0.15"/>
    <row r="11151" hidden="1" x14ac:dyDescent="0.15"/>
    <row r="11152" hidden="1" x14ac:dyDescent="0.15"/>
    <row r="11153" hidden="1" x14ac:dyDescent="0.15"/>
    <row r="11154" hidden="1" x14ac:dyDescent="0.15"/>
    <row r="11155" hidden="1" x14ac:dyDescent="0.15"/>
    <row r="11156" hidden="1" x14ac:dyDescent="0.15"/>
    <row r="11157" hidden="1" x14ac:dyDescent="0.15"/>
    <row r="11158" hidden="1" x14ac:dyDescent="0.15"/>
    <row r="11159" hidden="1" x14ac:dyDescent="0.15"/>
    <row r="11160" hidden="1" x14ac:dyDescent="0.15"/>
    <row r="11161" hidden="1" x14ac:dyDescent="0.15"/>
    <row r="11162" hidden="1" x14ac:dyDescent="0.15"/>
    <row r="11163" hidden="1" x14ac:dyDescent="0.15"/>
    <row r="11164" hidden="1" x14ac:dyDescent="0.15"/>
    <row r="11165" hidden="1" x14ac:dyDescent="0.15"/>
    <row r="11166" hidden="1" x14ac:dyDescent="0.15"/>
    <row r="11167" hidden="1" x14ac:dyDescent="0.15"/>
    <row r="11168" hidden="1" x14ac:dyDescent="0.15"/>
    <row r="11169" hidden="1" x14ac:dyDescent="0.15"/>
    <row r="11170" hidden="1" x14ac:dyDescent="0.15"/>
    <row r="11171" hidden="1" x14ac:dyDescent="0.15"/>
    <row r="11172" hidden="1" x14ac:dyDescent="0.15"/>
    <row r="11173" hidden="1" x14ac:dyDescent="0.15"/>
    <row r="11174" hidden="1" x14ac:dyDescent="0.15"/>
    <row r="11175" hidden="1" x14ac:dyDescent="0.15"/>
    <row r="11176" hidden="1" x14ac:dyDescent="0.15"/>
    <row r="11177" hidden="1" x14ac:dyDescent="0.15"/>
    <row r="11178" hidden="1" x14ac:dyDescent="0.15"/>
    <row r="11179" hidden="1" x14ac:dyDescent="0.15"/>
    <row r="11180" hidden="1" x14ac:dyDescent="0.15"/>
    <row r="11181" hidden="1" x14ac:dyDescent="0.15"/>
    <row r="11182" hidden="1" x14ac:dyDescent="0.15"/>
    <row r="11183" hidden="1" x14ac:dyDescent="0.15"/>
    <row r="11184" hidden="1" x14ac:dyDescent="0.15"/>
    <row r="11185" hidden="1" x14ac:dyDescent="0.15"/>
    <row r="11186" hidden="1" x14ac:dyDescent="0.15"/>
    <row r="11187" hidden="1" x14ac:dyDescent="0.15"/>
    <row r="11188" hidden="1" x14ac:dyDescent="0.15"/>
    <row r="11189" hidden="1" x14ac:dyDescent="0.15"/>
    <row r="11190" hidden="1" x14ac:dyDescent="0.15"/>
    <row r="11191" hidden="1" x14ac:dyDescent="0.15"/>
    <row r="11192" hidden="1" x14ac:dyDescent="0.15"/>
    <row r="11193" hidden="1" x14ac:dyDescent="0.15"/>
    <row r="11194" hidden="1" x14ac:dyDescent="0.15"/>
    <row r="11195" hidden="1" x14ac:dyDescent="0.15"/>
    <row r="11196" hidden="1" x14ac:dyDescent="0.15"/>
    <row r="11197" hidden="1" x14ac:dyDescent="0.15"/>
    <row r="11198" hidden="1" x14ac:dyDescent="0.15"/>
    <row r="11199" hidden="1" x14ac:dyDescent="0.15"/>
    <row r="11200" hidden="1" x14ac:dyDescent="0.15"/>
    <row r="11201" hidden="1" x14ac:dyDescent="0.15"/>
    <row r="11202" hidden="1" x14ac:dyDescent="0.15"/>
    <row r="11203" hidden="1" x14ac:dyDescent="0.15"/>
    <row r="11204" hidden="1" x14ac:dyDescent="0.15"/>
    <row r="11205" hidden="1" x14ac:dyDescent="0.15"/>
    <row r="11206" hidden="1" x14ac:dyDescent="0.15"/>
    <row r="11207" hidden="1" x14ac:dyDescent="0.15"/>
    <row r="11208" hidden="1" x14ac:dyDescent="0.15"/>
    <row r="11209" hidden="1" x14ac:dyDescent="0.15"/>
    <row r="11210" hidden="1" x14ac:dyDescent="0.15"/>
    <row r="11211" hidden="1" x14ac:dyDescent="0.15"/>
    <row r="11212" hidden="1" x14ac:dyDescent="0.15"/>
    <row r="11213" hidden="1" x14ac:dyDescent="0.15"/>
    <row r="11214" hidden="1" x14ac:dyDescent="0.15"/>
    <row r="11215" hidden="1" x14ac:dyDescent="0.15"/>
    <row r="11216" hidden="1" x14ac:dyDescent="0.15"/>
    <row r="11217" hidden="1" x14ac:dyDescent="0.15"/>
    <row r="11218" hidden="1" x14ac:dyDescent="0.15"/>
    <row r="11219" hidden="1" x14ac:dyDescent="0.15"/>
    <row r="11220" hidden="1" x14ac:dyDescent="0.15"/>
    <row r="11221" hidden="1" x14ac:dyDescent="0.15"/>
    <row r="11222" hidden="1" x14ac:dyDescent="0.15"/>
    <row r="11223" hidden="1" x14ac:dyDescent="0.15"/>
    <row r="11224" hidden="1" x14ac:dyDescent="0.15"/>
    <row r="11225" hidden="1" x14ac:dyDescent="0.15"/>
    <row r="11226" hidden="1" x14ac:dyDescent="0.15"/>
    <row r="11227" hidden="1" x14ac:dyDescent="0.15"/>
    <row r="11228" hidden="1" x14ac:dyDescent="0.15"/>
    <row r="11229" hidden="1" x14ac:dyDescent="0.15"/>
    <row r="11230" hidden="1" x14ac:dyDescent="0.15"/>
    <row r="11231" hidden="1" x14ac:dyDescent="0.15"/>
    <row r="11232" hidden="1" x14ac:dyDescent="0.15"/>
    <row r="11233" hidden="1" x14ac:dyDescent="0.15"/>
    <row r="11234" hidden="1" x14ac:dyDescent="0.15"/>
    <row r="11235" hidden="1" x14ac:dyDescent="0.15"/>
    <row r="11236" hidden="1" x14ac:dyDescent="0.15"/>
    <row r="11237" hidden="1" x14ac:dyDescent="0.15"/>
    <row r="11238" hidden="1" x14ac:dyDescent="0.15"/>
    <row r="11239" hidden="1" x14ac:dyDescent="0.15"/>
    <row r="11240" hidden="1" x14ac:dyDescent="0.15"/>
    <row r="11241" hidden="1" x14ac:dyDescent="0.15"/>
    <row r="11242" hidden="1" x14ac:dyDescent="0.15"/>
    <row r="11243" hidden="1" x14ac:dyDescent="0.15"/>
    <row r="11244" hidden="1" x14ac:dyDescent="0.15"/>
    <row r="11245" hidden="1" x14ac:dyDescent="0.15"/>
    <row r="11246" hidden="1" x14ac:dyDescent="0.15"/>
    <row r="11247" hidden="1" x14ac:dyDescent="0.15"/>
    <row r="11248" hidden="1" x14ac:dyDescent="0.15"/>
    <row r="11249" hidden="1" x14ac:dyDescent="0.15"/>
    <row r="11250" hidden="1" x14ac:dyDescent="0.15"/>
    <row r="11251" hidden="1" x14ac:dyDescent="0.15"/>
    <row r="11252" hidden="1" x14ac:dyDescent="0.15"/>
    <row r="11253" hidden="1" x14ac:dyDescent="0.15"/>
    <row r="11254" hidden="1" x14ac:dyDescent="0.15"/>
    <row r="11255" hidden="1" x14ac:dyDescent="0.15"/>
    <row r="11256" hidden="1" x14ac:dyDescent="0.15"/>
    <row r="11257" hidden="1" x14ac:dyDescent="0.15"/>
    <row r="11258" hidden="1" x14ac:dyDescent="0.15"/>
    <row r="11259" hidden="1" x14ac:dyDescent="0.15"/>
    <row r="11260" hidden="1" x14ac:dyDescent="0.15"/>
    <row r="11261" hidden="1" x14ac:dyDescent="0.15"/>
    <row r="11262" hidden="1" x14ac:dyDescent="0.15"/>
    <row r="11263" hidden="1" x14ac:dyDescent="0.15"/>
    <row r="11264" hidden="1" x14ac:dyDescent="0.15"/>
    <row r="11265" hidden="1" x14ac:dyDescent="0.15"/>
    <row r="11266" hidden="1" x14ac:dyDescent="0.15"/>
    <row r="11267" hidden="1" x14ac:dyDescent="0.15"/>
    <row r="11268" hidden="1" x14ac:dyDescent="0.15"/>
    <row r="11269" hidden="1" x14ac:dyDescent="0.15"/>
    <row r="11270" hidden="1" x14ac:dyDescent="0.15"/>
    <row r="11271" hidden="1" x14ac:dyDescent="0.15"/>
    <row r="11272" hidden="1" x14ac:dyDescent="0.15"/>
    <row r="11273" hidden="1" x14ac:dyDescent="0.15"/>
    <row r="11274" hidden="1" x14ac:dyDescent="0.15"/>
    <row r="11275" hidden="1" x14ac:dyDescent="0.15"/>
    <row r="11276" hidden="1" x14ac:dyDescent="0.15"/>
    <row r="11277" hidden="1" x14ac:dyDescent="0.15"/>
    <row r="11278" hidden="1" x14ac:dyDescent="0.15"/>
    <row r="11279" hidden="1" x14ac:dyDescent="0.15"/>
    <row r="11280" hidden="1" x14ac:dyDescent="0.15"/>
    <row r="11281" hidden="1" x14ac:dyDescent="0.15"/>
    <row r="11282" hidden="1" x14ac:dyDescent="0.15"/>
    <row r="11283" hidden="1" x14ac:dyDescent="0.15"/>
    <row r="11284" hidden="1" x14ac:dyDescent="0.15"/>
    <row r="11285" hidden="1" x14ac:dyDescent="0.15"/>
    <row r="11286" hidden="1" x14ac:dyDescent="0.15"/>
    <row r="11287" hidden="1" x14ac:dyDescent="0.15"/>
    <row r="11288" hidden="1" x14ac:dyDescent="0.15"/>
    <row r="11289" hidden="1" x14ac:dyDescent="0.15"/>
    <row r="11290" hidden="1" x14ac:dyDescent="0.15"/>
    <row r="11291" hidden="1" x14ac:dyDescent="0.15"/>
    <row r="11292" hidden="1" x14ac:dyDescent="0.15"/>
    <row r="11293" hidden="1" x14ac:dyDescent="0.15"/>
    <row r="11294" hidden="1" x14ac:dyDescent="0.15"/>
    <row r="11295" hidden="1" x14ac:dyDescent="0.15"/>
    <row r="11296" hidden="1" x14ac:dyDescent="0.15"/>
    <row r="11297" hidden="1" x14ac:dyDescent="0.15"/>
    <row r="11298" hidden="1" x14ac:dyDescent="0.15"/>
    <row r="11299" hidden="1" x14ac:dyDescent="0.15"/>
    <row r="11300" hidden="1" x14ac:dyDescent="0.15"/>
    <row r="11301" hidden="1" x14ac:dyDescent="0.15"/>
    <row r="11302" hidden="1" x14ac:dyDescent="0.15"/>
    <row r="11303" hidden="1" x14ac:dyDescent="0.15"/>
    <row r="11304" hidden="1" x14ac:dyDescent="0.15"/>
    <row r="11305" hidden="1" x14ac:dyDescent="0.15"/>
    <row r="11306" hidden="1" x14ac:dyDescent="0.15"/>
    <row r="11307" hidden="1" x14ac:dyDescent="0.15"/>
    <row r="11308" hidden="1" x14ac:dyDescent="0.15"/>
    <row r="11309" hidden="1" x14ac:dyDescent="0.15"/>
    <row r="11310" hidden="1" x14ac:dyDescent="0.15"/>
    <row r="11311" hidden="1" x14ac:dyDescent="0.15"/>
    <row r="11312" hidden="1" x14ac:dyDescent="0.15"/>
    <row r="11313" hidden="1" x14ac:dyDescent="0.15"/>
    <row r="11314" hidden="1" x14ac:dyDescent="0.15"/>
    <row r="11315" hidden="1" x14ac:dyDescent="0.15"/>
    <row r="11316" hidden="1" x14ac:dyDescent="0.15"/>
    <row r="11317" hidden="1" x14ac:dyDescent="0.15"/>
    <row r="11318" hidden="1" x14ac:dyDescent="0.15"/>
    <row r="11319" hidden="1" x14ac:dyDescent="0.15"/>
    <row r="11320" hidden="1" x14ac:dyDescent="0.15"/>
    <row r="11321" hidden="1" x14ac:dyDescent="0.15"/>
    <row r="11322" hidden="1" x14ac:dyDescent="0.15"/>
    <row r="11323" hidden="1" x14ac:dyDescent="0.15"/>
    <row r="11324" hidden="1" x14ac:dyDescent="0.15"/>
    <row r="11325" hidden="1" x14ac:dyDescent="0.15"/>
    <row r="11326" hidden="1" x14ac:dyDescent="0.15"/>
    <row r="11327" hidden="1" x14ac:dyDescent="0.15"/>
    <row r="11328" hidden="1" x14ac:dyDescent="0.15"/>
    <row r="11329" hidden="1" x14ac:dyDescent="0.15"/>
    <row r="11330" hidden="1" x14ac:dyDescent="0.15"/>
    <row r="11331" hidden="1" x14ac:dyDescent="0.15"/>
    <row r="11332" hidden="1" x14ac:dyDescent="0.15"/>
    <row r="11333" hidden="1" x14ac:dyDescent="0.15"/>
    <row r="11334" hidden="1" x14ac:dyDescent="0.15"/>
    <row r="11335" hidden="1" x14ac:dyDescent="0.15"/>
    <row r="11336" hidden="1" x14ac:dyDescent="0.15"/>
    <row r="11337" hidden="1" x14ac:dyDescent="0.15"/>
    <row r="11338" hidden="1" x14ac:dyDescent="0.15"/>
    <row r="11339" hidden="1" x14ac:dyDescent="0.15"/>
    <row r="11340" hidden="1" x14ac:dyDescent="0.15"/>
    <row r="11341" hidden="1" x14ac:dyDescent="0.15"/>
    <row r="11342" hidden="1" x14ac:dyDescent="0.15"/>
    <row r="11343" hidden="1" x14ac:dyDescent="0.15"/>
    <row r="11344" hidden="1" x14ac:dyDescent="0.15"/>
    <row r="11345" hidden="1" x14ac:dyDescent="0.15"/>
    <row r="11346" hidden="1" x14ac:dyDescent="0.15"/>
    <row r="11347" hidden="1" x14ac:dyDescent="0.15"/>
    <row r="11348" hidden="1" x14ac:dyDescent="0.15"/>
    <row r="11349" hidden="1" x14ac:dyDescent="0.15"/>
    <row r="11350" hidden="1" x14ac:dyDescent="0.15"/>
    <row r="11351" hidden="1" x14ac:dyDescent="0.15"/>
    <row r="11352" hidden="1" x14ac:dyDescent="0.15"/>
    <row r="11353" hidden="1" x14ac:dyDescent="0.15"/>
    <row r="11354" hidden="1" x14ac:dyDescent="0.15"/>
    <row r="11355" hidden="1" x14ac:dyDescent="0.15"/>
    <row r="11356" hidden="1" x14ac:dyDescent="0.15"/>
    <row r="11357" hidden="1" x14ac:dyDescent="0.15"/>
    <row r="11358" hidden="1" x14ac:dyDescent="0.15"/>
    <row r="11359" hidden="1" x14ac:dyDescent="0.15"/>
    <row r="11360" hidden="1" x14ac:dyDescent="0.15"/>
    <row r="11361" hidden="1" x14ac:dyDescent="0.15"/>
    <row r="11362" hidden="1" x14ac:dyDescent="0.15"/>
    <row r="11363" hidden="1" x14ac:dyDescent="0.15"/>
    <row r="11364" hidden="1" x14ac:dyDescent="0.15"/>
    <row r="11365" hidden="1" x14ac:dyDescent="0.15"/>
    <row r="11366" hidden="1" x14ac:dyDescent="0.15"/>
    <row r="11367" hidden="1" x14ac:dyDescent="0.15"/>
    <row r="11368" hidden="1" x14ac:dyDescent="0.15"/>
    <row r="11369" hidden="1" x14ac:dyDescent="0.15"/>
    <row r="11370" hidden="1" x14ac:dyDescent="0.15"/>
    <row r="11371" hidden="1" x14ac:dyDescent="0.15"/>
    <row r="11372" hidden="1" x14ac:dyDescent="0.15"/>
    <row r="11373" hidden="1" x14ac:dyDescent="0.15"/>
    <row r="11374" hidden="1" x14ac:dyDescent="0.15"/>
    <row r="11375" hidden="1" x14ac:dyDescent="0.15"/>
    <row r="11376" hidden="1" x14ac:dyDescent="0.15"/>
    <row r="11377" hidden="1" x14ac:dyDescent="0.15"/>
    <row r="11378" hidden="1" x14ac:dyDescent="0.15"/>
    <row r="11379" hidden="1" x14ac:dyDescent="0.15"/>
    <row r="11380" hidden="1" x14ac:dyDescent="0.15"/>
    <row r="11381" hidden="1" x14ac:dyDescent="0.15"/>
    <row r="11382" hidden="1" x14ac:dyDescent="0.15"/>
    <row r="11383" hidden="1" x14ac:dyDescent="0.15"/>
    <row r="11384" hidden="1" x14ac:dyDescent="0.15"/>
    <row r="11385" hidden="1" x14ac:dyDescent="0.15"/>
    <row r="11386" hidden="1" x14ac:dyDescent="0.15"/>
    <row r="11387" hidden="1" x14ac:dyDescent="0.15"/>
    <row r="11388" hidden="1" x14ac:dyDescent="0.15"/>
    <row r="11389" hidden="1" x14ac:dyDescent="0.15"/>
    <row r="11390" hidden="1" x14ac:dyDescent="0.15"/>
    <row r="11391" hidden="1" x14ac:dyDescent="0.15"/>
    <row r="11392" hidden="1" x14ac:dyDescent="0.15"/>
    <row r="11393" hidden="1" x14ac:dyDescent="0.15"/>
    <row r="11394" hidden="1" x14ac:dyDescent="0.15"/>
    <row r="11395" hidden="1" x14ac:dyDescent="0.15"/>
    <row r="11396" hidden="1" x14ac:dyDescent="0.15"/>
    <row r="11397" hidden="1" x14ac:dyDescent="0.15"/>
    <row r="11398" hidden="1" x14ac:dyDescent="0.15"/>
    <row r="11399" hidden="1" x14ac:dyDescent="0.15"/>
    <row r="11400" hidden="1" x14ac:dyDescent="0.15"/>
    <row r="11401" hidden="1" x14ac:dyDescent="0.15"/>
    <row r="11402" hidden="1" x14ac:dyDescent="0.15"/>
    <row r="11403" hidden="1" x14ac:dyDescent="0.15"/>
    <row r="11404" hidden="1" x14ac:dyDescent="0.15"/>
    <row r="11405" hidden="1" x14ac:dyDescent="0.15"/>
    <row r="11406" hidden="1" x14ac:dyDescent="0.15"/>
    <row r="11407" hidden="1" x14ac:dyDescent="0.15"/>
    <row r="11408" hidden="1" x14ac:dyDescent="0.15"/>
    <row r="11409" hidden="1" x14ac:dyDescent="0.15"/>
    <row r="11410" hidden="1" x14ac:dyDescent="0.15"/>
    <row r="11411" hidden="1" x14ac:dyDescent="0.15"/>
    <row r="11412" hidden="1" x14ac:dyDescent="0.15"/>
    <row r="11413" hidden="1" x14ac:dyDescent="0.15"/>
    <row r="11414" hidden="1" x14ac:dyDescent="0.15"/>
    <row r="11415" hidden="1" x14ac:dyDescent="0.15"/>
    <row r="11416" hidden="1" x14ac:dyDescent="0.15"/>
    <row r="11417" hidden="1" x14ac:dyDescent="0.15"/>
    <row r="11418" hidden="1" x14ac:dyDescent="0.15"/>
    <row r="11419" hidden="1" x14ac:dyDescent="0.15"/>
    <row r="11420" hidden="1" x14ac:dyDescent="0.15"/>
    <row r="11421" hidden="1" x14ac:dyDescent="0.15"/>
    <row r="11422" hidden="1" x14ac:dyDescent="0.15"/>
    <row r="11423" hidden="1" x14ac:dyDescent="0.15"/>
    <row r="11424" hidden="1" x14ac:dyDescent="0.15"/>
    <row r="11425" hidden="1" x14ac:dyDescent="0.15"/>
    <row r="11426" hidden="1" x14ac:dyDescent="0.15"/>
    <row r="11427" hidden="1" x14ac:dyDescent="0.15"/>
    <row r="11428" hidden="1" x14ac:dyDescent="0.15"/>
    <row r="11429" hidden="1" x14ac:dyDescent="0.15"/>
    <row r="11430" hidden="1" x14ac:dyDescent="0.15"/>
    <row r="11431" hidden="1" x14ac:dyDescent="0.15"/>
    <row r="11432" hidden="1" x14ac:dyDescent="0.15"/>
    <row r="11433" hidden="1" x14ac:dyDescent="0.15"/>
    <row r="11434" hidden="1" x14ac:dyDescent="0.15"/>
    <row r="11435" hidden="1" x14ac:dyDescent="0.15"/>
    <row r="11436" hidden="1" x14ac:dyDescent="0.15"/>
    <row r="11437" hidden="1" x14ac:dyDescent="0.15"/>
    <row r="11438" hidden="1" x14ac:dyDescent="0.15"/>
    <row r="11439" hidden="1" x14ac:dyDescent="0.15"/>
    <row r="11440" hidden="1" x14ac:dyDescent="0.15"/>
    <row r="11441" hidden="1" x14ac:dyDescent="0.15"/>
    <row r="11442" hidden="1" x14ac:dyDescent="0.15"/>
    <row r="11443" hidden="1" x14ac:dyDescent="0.15"/>
    <row r="11444" hidden="1" x14ac:dyDescent="0.15"/>
    <row r="11445" hidden="1" x14ac:dyDescent="0.15"/>
    <row r="11446" hidden="1" x14ac:dyDescent="0.15"/>
    <row r="11447" hidden="1" x14ac:dyDescent="0.15"/>
    <row r="11448" hidden="1" x14ac:dyDescent="0.15"/>
    <row r="11449" hidden="1" x14ac:dyDescent="0.15"/>
    <row r="11450" hidden="1" x14ac:dyDescent="0.15"/>
    <row r="11451" hidden="1" x14ac:dyDescent="0.15"/>
    <row r="11452" hidden="1" x14ac:dyDescent="0.15"/>
    <row r="11453" hidden="1" x14ac:dyDescent="0.15"/>
    <row r="11454" hidden="1" x14ac:dyDescent="0.15"/>
    <row r="11455" hidden="1" x14ac:dyDescent="0.15"/>
    <row r="11456" hidden="1" x14ac:dyDescent="0.15"/>
    <row r="11457" hidden="1" x14ac:dyDescent="0.15"/>
    <row r="11458" hidden="1" x14ac:dyDescent="0.15"/>
    <row r="11459" hidden="1" x14ac:dyDescent="0.15"/>
    <row r="11460" hidden="1" x14ac:dyDescent="0.15"/>
    <row r="11461" hidden="1" x14ac:dyDescent="0.15"/>
    <row r="11462" hidden="1" x14ac:dyDescent="0.15"/>
    <row r="11463" hidden="1" x14ac:dyDescent="0.15"/>
    <row r="11464" hidden="1" x14ac:dyDescent="0.15"/>
    <row r="11465" hidden="1" x14ac:dyDescent="0.15"/>
    <row r="11466" hidden="1" x14ac:dyDescent="0.15"/>
    <row r="11467" hidden="1" x14ac:dyDescent="0.15"/>
    <row r="11468" hidden="1" x14ac:dyDescent="0.15"/>
    <row r="11469" hidden="1" x14ac:dyDescent="0.15"/>
    <row r="11470" hidden="1" x14ac:dyDescent="0.15"/>
    <row r="11471" hidden="1" x14ac:dyDescent="0.15"/>
    <row r="11472" hidden="1" x14ac:dyDescent="0.15"/>
    <row r="11473" hidden="1" x14ac:dyDescent="0.15"/>
    <row r="11474" hidden="1" x14ac:dyDescent="0.15"/>
    <row r="11475" hidden="1" x14ac:dyDescent="0.15"/>
    <row r="11476" hidden="1" x14ac:dyDescent="0.15"/>
    <row r="11477" hidden="1" x14ac:dyDescent="0.15"/>
    <row r="11478" hidden="1" x14ac:dyDescent="0.15"/>
    <row r="11479" hidden="1" x14ac:dyDescent="0.15"/>
    <row r="11480" hidden="1" x14ac:dyDescent="0.15"/>
    <row r="11481" hidden="1" x14ac:dyDescent="0.15"/>
    <row r="11482" hidden="1" x14ac:dyDescent="0.15"/>
    <row r="11483" hidden="1" x14ac:dyDescent="0.15"/>
    <row r="11484" hidden="1" x14ac:dyDescent="0.15"/>
    <row r="11485" hidden="1" x14ac:dyDescent="0.15"/>
    <row r="11486" hidden="1" x14ac:dyDescent="0.15"/>
    <row r="11487" hidden="1" x14ac:dyDescent="0.15"/>
    <row r="11488" hidden="1" x14ac:dyDescent="0.15"/>
    <row r="11489" hidden="1" x14ac:dyDescent="0.15"/>
    <row r="11490" hidden="1" x14ac:dyDescent="0.15"/>
    <row r="11491" hidden="1" x14ac:dyDescent="0.15"/>
    <row r="11492" hidden="1" x14ac:dyDescent="0.15"/>
    <row r="11493" hidden="1" x14ac:dyDescent="0.15"/>
    <row r="11494" hidden="1" x14ac:dyDescent="0.15"/>
    <row r="11495" hidden="1" x14ac:dyDescent="0.15"/>
    <row r="11496" hidden="1" x14ac:dyDescent="0.15"/>
    <row r="11497" hidden="1" x14ac:dyDescent="0.15"/>
    <row r="11498" hidden="1" x14ac:dyDescent="0.15"/>
    <row r="11499" hidden="1" x14ac:dyDescent="0.15"/>
    <row r="11500" hidden="1" x14ac:dyDescent="0.15"/>
    <row r="11501" hidden="1" x14ac:dyDescent="0.15"/>
    <row r="11502" hidden="1" x14ac:dyDescent="0.15"/>
    <row r="11503" hidden="1" x14ac:dyDescent="0.15"/>
    <row r="11504" hidden="1" x14ac:dyDescent="0.15"/>
    <row r="11505" hidden="1" x14ac:dyDescent="0.15"/>
    <row r="11506" hidden="1" x14ac:dyDescent="0.15"/>
    <row r="11507" hidden="1" x14ac:dyDescent="0.15"/>
    <row r="11508" hidden="1" x14ac:dyDescent="0.15"/>
    <row r="11509" hidden="1" x14ac:dyDescent="0.15"/>
    <row r="11510" hidden="1" x14ac:dyDescent="0.15"/>
    <row r="11511" hidden="1" x14ac:dyDescent="0.15"/>
    <row r="11512" hidden="1" x14ac:dyDescent="0.15"/>
    <row r="11513" hidden="1" x14ac:dyDescent="0.15"/>
    <row r="11514" hidden="1" x14ac:dyDescent="0.15"/>
    <row r="11515" hidden="1" x14ac:dyDescent="0.15"/>
    <row r="11516" hidden="1" x14ac:dyDescent="0.15"/>
    <row r="11517" hidden="1" x14ac:dyDescent="0.15"/>
    <row r="11518" hidden="1" x14ac:dyDescent="0.15"/>
    <row r="11519" hidden="1" x14ac:dyDescent="0.15"/>
    <row r="11520" hidden="1" x14ac:dyDescent="0.15"/>
    <row r="11521" hidden="1" x14ac:dyDescent="0.15"/>
    <row r="11522" hidden="1" x14ac:dyDescent="0.15"/>
    <row r="11523" hidden="1" x14ac:dyDescent="0.15"/>
    <row r="11524" hidden="1" x14ac:dyDescent="0.15"/>
    <row r="11525" hidden="1" x14ac:dyDescent="0.15"/>
    <row r="11526" hidden="1" x14ac:dyDescent="0.15"/>
    <row r="11527" hidden="1" x14ac:dyDescent="0.15"/>
    <row r="11528" hidden="1" x14ac:dyDescent="0.15"/>
    <row r="11529" hidden="1" x14ac:dyDescent="0.15"/>
    <row r="11530" hidden="1" x14ac:dyDescent="0.15"/>
    <row r="11531" hidden="1" x14ac:dyDescent="0.15"/>
    <row r="11532" hidden="1" x14ac:dyDescent="0.15"/>
    <row r="11533" hidden="1" x14ac:dyDescent="0.15"/>
    <row r="11534" hidden="1" x14ac:dyDescent="0.15"/>
    <row r="11535" hidden="1" x14ac:dyDescent="0.15"/>
    <row r="11536" hidden="1" x14ac:dyDescent="0.15"/>
    <row r="11537" hidden="1" x14ac:dyDescent="0.15"/>
    <row r="11538" hidden="1" x14ac:dyDescent="0.15"/>
    <row r="11539" hidden="1" x14ac:dyDescent="0.15"/>
    <row r="11540" hidden="1" x14ac:dyDescent="0.15"/>
    <row r="11541" hidden="1" x14ac:dyDescent="0.15"/>
    <row r="11542" hidden="1" x14ac:dyDescent="0.15"/>
    <row r="11543" hidden="1" x14ac:dyDescent="0.15"/>
    <row r="11544" hidden="1" x14ac:dyDescent="0.15"/>
    <row r="11545" hidden="1" x14ac:dyDescent="0.15"/>
    <row r="11546" hidden="1" x14ac:dyDescent="0.15"/>
    <row r="11547" hidden="1" x14ac:dyDescent="0.15"/>
    <row r="11548" hidden="1" x14ac:dyDescent="0.15"/>
    <row r="11549" hidden="1" x14ac:dyDescent="0.15"/>
    <row r="11550" hidden="1" x14ac:dyDescent="0.15"/>
    <row r="11551" hidden="1" x14ac:dyDescent="0.15"/>
    <row r="11552" hidden="1" x14ac:dyDescent="0.15"/>
    <row r="11553" hidden="1" x14ac:dyDescent="0.15"/>
    <row r="11554" hidden="1" x14ac:dyDescent="0.15"/>
    <row r="11555" hidden="1" x14ac:dyDescent="0.15"/>
    <row r="11556" hidden="1" x14ac:dyDescent="0.15"/>
    <row r="11557" hidden="1" x14ac:dyDescent="0.15"/>
    <row r="11558" hidden="1" x14ac:dyDescent="0.15"/>
    <row r="11559" hidden="1" x14ac:dyDescent="0.15"/>
    <row r="11560" hidden="1" x14ac:dyDescent="0.15"/>
    <row r="11561" hidden="1" x14ac:dyDescent="0.15"/>
    <row r="11562" hidden="1" x14ac:dyDescent="0.15"/>
    <row r="11563" hidden="1" x14ac:dyDescent="0.15"/>
    <row r="11564" hidden="1" x14ac:dyDescent="0.15"/>
    <row r="11565" hidden="1" x14ac:dyDescent="0.15"/>
    <row r="11566" hidden="1" x14ac:dyDescent="0.15"/>
    <row r="11567" hidden="1" x14ac:dyDescent="0.15"/>
    <row r="11568" hidden="1" x14ac:dyDescent="0.15"/>
    <row r="11569" hidden="1" x14ac:dyDescent="0.15"/>
    <row r="11570" hidden="1" x14ac:dyDescent="0.15"/>
    <row r="11571" hidden="1" x14ac:dyDescent="0.15"/>
    <row r="11572" hidden="1" x14ac:dyDescent="0.15"/>
    <row r="11573" hidden="1" x14ac:dyDescent="0.15"/>
    <row r="11574" hidden="1" x14ac:dyDescent="0.15"/>
    <row r="11575" hidden="1" x14ac:dyDescent="0.15"/>
    <row r="11576" hidden="1" x14ac:dyDescent="0.15"/>
    <row r="11577" hidden="1" x14ac:dyDescent="0.15"/>
    <row r="11578" hidden="1" x14ac:dyDescent="0.15"/>
    <row r="11579" hidden="1" x14ac:dyDescent="0.15"/>
    <row r="11580" hidden="1" x14ac:dyDescent="0.15"/>
    <row r="11581" hidden="1" x14ac:dyDescent="0.15"/>
    <row r="11582" hidden="1" x14ac:dyDescent="0.15"/>
    <row r="11583" hidden="1" x14ac:dyDescent="0.15"/>
    <row r="11584" hidden="1" x14ac:dyDescent="0.15"/>
    <row r="11585" hidden="1" x14ac:dyDescent="0.15"/>
    <row r="11586" hidden="1" x14ac:dyDescent="0.15"/>
    <row r="11587" hidden="1" x14ac:dyDescent="0.15"/>
    <row r="11588" hidden="1" x14ac:dyDescent="0.15"/>
    <row r="11589" hidden="1" x14ac:dyDescent="0.15"/>
    <row r="11590" hidden="1" x14ac:dyDescent="0.15"/>
    <row r="11591" hidden="1" x14ac:dyDescent="0.15"/>
    <row r="11592" hidden="1" x14ac:dyDescent="0.15"/>
    <row r="11593" hidden="1" x14ac:dyDescent="0.15"/>
    <row r="11594" hidden="1" x14ac:dyDescent="0.15"/>
    <row r="11595" hidden="1" x14ac:dyDescent="0.15"/>
    <row r="11596" hidden="1" x14ac:dyDescent="0.15"/>
    <row r="11597" hidden="1" x14ac:dyDescent="0.15"/>
    <row r="11598" hidden="1" x14ac:dyDescent="0.15"/>
    <row r="11599" hidden="1" x14ac:dyDescent="0.15"/>
    <row r="11600" hidden="1" x14ac:dyDescent="0.15"/>
    <row r="11601" hidden="1" x14ac:dyDescent="0.15"/>
    <row r="11602" hidden="1" x14ac:dyDescent="0.15"/>
    <row r="11603" hidden="1" x14ac:dyDescent="0.15"/>
    <row r="11604" hidden="1" x14ac:dyDescent="0.15"/>
    <row r="11605" hidden="1" x14ac:dyDescent="0.15"/>
    <row r="11606" hidden="1" x14ac:dyDescent="0.15"/>
    <row r="11607" hidden="1" x14ac:dyDescent="0.15"/>
    <row r="11608" hidden="1" x14ac:dyDescent="0.15"/>
    <row r="11609" hidden="1" x14ac:dyDescent="0.15"/>
    <row r="11610" hidden="1" x14ac:dyDescent="0.15"/>
    <row r="11611" hidden="1" x14ac:dyDescent="0.15"/>
    <row r="11612" hidden="1" x14ac:dyDescent="0.15"/>
    <row r="11613" hidden="1" x14ac:dyDescent="0.15"/>
    <row r="11614" hidden="1" x14ac:dyDescent="0.15"/>
    <row r="11615" hidden="1" x14ac:dyDescent="0.15"/>
    <row r="11616" hidden="1" x14ac:dyDescent="0.15"/>
    <row r="11617" hidden="1" x14ac:dyDescent="0.15"/>
    <row r="11618" hidden="1" x14ac:dyDescent="0.15"/>
    <row r="11619" hidden="1" x14ac:dyDescent="0.15"/>
    <row r="11620" hidden="1" x14ac:dyDescent="0.15"/>
    <row r="11621" hidden="1" x14ac:dyDescent="0.15"/>
    <row r="11622" hidden="1" x14ac:dyDescent="0.15"/>
    <row r="11623" hidden="1" x14ac:dyDescent="0.15"/>
    <row r="11624" hidden="1" x14ac:dyDescent="0.15"/>
    <row r="11625" hidden="1" x14ac:dyDescent="0.15"/>
    <row r="11626" hidden="1" x14ac:dyDescent="0.15"/>
    <row r="11627" hidden="1" x14ac:dyDescent="0.15"/>
    <row r="11628" hidden="1" x14ac:dyDescent="0.15"/>
    <row r="11629" hidden="1" x14ac:dyDescent="0.15"/>
    <row r="11630" hidden="1" x14ac:dyDescent="0.15"/>
    <row r="11631" hidden="1" x14ac:dyDescent="0.15"/>
    <row r="11632" hidden="1" x14ac:dyDescent="0.15"/>
    <row r="11633" hidden="1" x14ac:dyDescent="0.15"/>
    <row r="11634" hidden="1" x14ac:dyDescent="0.15"/>
    <row r="11635" hidden="1" x14ac:dyDescent="0.15"/>
    <row r="11636" hidden="1" x14ac:dyDescent="0.15"/>
    <row r="11637" hidden="1" x14ac:dyDescent="0.15"/>
    <row r="11638" hidden="1" x14ac:dyDescent="0.15"/>
    <row r="11639" hidden="1" x14ac:dyDescent="0.15"/>
    <row r="11640" hidden="1" x14ac:dyDescent="0.15"/>
    <row r="11641" hidden="1" x14ac:dyDescent="0.15"/>
    <row r="11642" hidden="1" x14ac:dyDescent="0.15"/>
    <row r="11643" hidden="1" x14ac:dyDescent="0.15"/>
    <row r="11644" hidden="1" x14ac:dyDescent="0.15"/>
    <row r="11645" hidden="1" x14ac:dyDescent="0.15"/>
    <row r="11646" hidden="1" x14ac:dyDescent="0.15"/>
    <row r="11647" hidden="1" x14ac:dyDescent="0.15"/>
    <row r="11648" hidden="1" x14ac:dyDescent="0.15"/>
    <row r="11649" hidden="1" x14ac:dyDescent="0.15"/>
    <row r="11650" hidden="1" x14ac:dyDescent="0.15"/>
    <row r="11651" hidden="1" x14ac:dyDescent="0.15"/>
    <row r="11652" hidden="1" x14ac:dyDescent="0.15"/>
    <row r="11653" hidden="1" x14ac:dyDescent="0.15"/>
    <row r="11654" hidden="1" x14ac:dyDescent="0.15"/>
    <row r="11655" hidden="1" x14ac:dyDescent="0.15"/>
    <row r="11656" hidden="1" x14ac:dyDescent="0.15"/>
    <row r="11657" hidden="1" x14ac:dyDescent="0.15"/>
    <row r="11658" hidden="1" x14ac:dyDescent="0.15"/>
    <row r="11659" hidden="1" x14ac:dyDescent="0.15"/>
    <row r="11660" hidden="1" x14ac:dyDescent="0.15"/>
    <row r="11661" hidden="1" x14ac:dyDescent="0.15"/>
    <row r="11662" hidden="1" x14ac:dyDescent="0.15"/>
    <row r="11663" hidden="1" x14ac:dyDescent="0.15"/>
    <row r="11664" hidden="1" x14ac:dyDescent="0.15"/>
    <row r="11665" hidden="1" x14ac:dyDescent="0.15"/>
    <row r="11666" hidden="1" x14ac:dyDescent="0.15"/>
    <row r="11667" hidden="1" x14ac:dyDescent="0.15"/>
    <row r="11668" hidden="1" x14ac:dyDescent="0.15"/>
    <row r="11669" hidden="1" x14ac:dyDescent="0.15"/>
    <row r="11670" hidden="1" x14ac:dyDescent="0.15"/>
    <row r="11671" hidden="1" x14ac:dyDescent="0.15"/>
    <row r="11672" hidden="1" x14ac:dyDescent="0.15"/>
    <row r="11673" hidden="1" x14ac:dyDescent="0.15"/>
    <row r="11674" hidden="1" x14ac:dyDescent="0.15"/>
    <row r="11675" hidden="1" x14ac:dyDescent="0.15"/>
    <row r="11676" hidden="1" x14ac:dyDescent="0.15"/>
    <row r="11677" hidden="1" x14ac:dyDescent="0.15"/>
    <row r="11678" hidden="1" x14ac:dyDescent="0.15"/>
    <row r="11679" hidden="1" x14ac:dyDescent="0.15"/>
    <row r="11680" hidden="1" x14ac:dyDescent="0.15"/>
    <row r="11681" hidden="1" x14ac:dyDescent="0.15"/>
    <row r="11682" hidden="1" x14ac:dyDescent="0.15"/>
    <row r="11683" hidden="1" x14ac:dyDescent="0.15"/>
    <row r="11684" hidden="1" x14ac:dyDescent="0.15"/>
    <row r="11685" hidden="1" x14ac:dyDescent="0.15"/>
    <row r="11686" hidden="1" x14ac:dyDescent="0.15"/>
    <row r="11687" hidden="1" x14ac:dyDescent="0.15"/>
    <row r="11688" hidden="1" x14ac:dyDescent="0.15"/>
    <row r="11689" hidden="1" x14ac:dyDescent="0.15"/>
    <row r="11690" hidden="1" x14ac:dyDescent="0.15"/>
    <row r="11691" hidden="1" x14ac:dyDescent="0.15"/>
    <row r="11692" hidden="1" x14ac:dyDescent="0.15"/>
    <row r="11693" hidden="1" x14ac:dyDescent="0.15"/>
    <row r="11694" hidden="1" x14ac:dyDescent="0.15"/>
    <row r="11695" hidden="1" x14ac:dyDescent="0.15"/>
    <row r="11696" hidden="1" x14ac:dyDescent="0.15"/>
    <row r="11697" hidden="1" x14ac:dyDescent="0.15"/>
    <row r="11698" hidden="1" x14ac:dyDescent="0.15"/>
    <row r="11699" hidden="1" x14ac:dyDescent="0.15"/>
    <row r="11700" hidden="1" x14ac:dyDescent="0.15"/>
    <row r="11701" hidden="1" x14ac:dyDescent="0.15"/>
    <row r="11702" hidden="1" x14ac:dyDescent="0.15"/>
    <row r="11703" hidden="1" x14ac:dyDescent="0.15"/>
    <row r="11704" hidden="1" x14ac:dyDescent="0.15"/>
    <row r="11705" hidden="1" x14ac:dyDescent="0.15"/>
    <row r="11706" hidden="1" x14ac:dyDescent="0.15"/>
    <row r="11707" hidden="1" x14ac:dyDescent="0.15"/>
    <row r="11708" hidden="1" x14ac:dyDescent="0.15"/>
    <row r="11709" hidden="1" x14ac:dyDescent="0.15"/>
    <row r="11710" hidden="1" x14ac:dyDescent="0.15"/>
    <row r="11711" hidden="1" x14ac:dyDescent="0.15"/>
    <row r="11712" hidden="1" x14ac:dyDescent="0.15"/>
    <row r="11713" hidden="1" x14ac:dyDescent="0.15"/>
    <row r="11714" hidden="1" x14ac:dyDescent="0.15"/>
    <row r="11715" hidden="1" x14ac:dyDescent="0.15"/>
    <row r="11716" hidden="1" x14ac:dyDescent="0.15"/>
    <row r="11717" hidden="1" x14ac:dyDescent="0.15"/>
    <row r="11718" hidden="1" x14ac:dyDescent="0.15"/>
    <row r="11719" hidden="1" x14ac:dyDescent="0.15"/>
    <row r="11720" hidden="1" x14ac:dyDescent="0.15"/>
    <row r="11721" hidden="1" x14ac:dyDescent="0.15"/>
    <row r="11722" hidden="1" x14ac:dyDescent="0.15"/>
    <row r="11723" hidden="1" x14ac:dyDescent="0.15"/>
    <row r="11724" hidden="1" x14ac:dyDescent="0.15"/>
    <row r="11725" hidden="1" x14ac:dyDescent="0.15"/>
    <row r="11726" hidden="1" x14ac:dyDescent="0.15"/>
    <row r="11727" hidden="1" x14ac:dyDescent="0.15"/>
    <row r="11728" hidden="1" x14ac:dyDescent="0.15"/>
    <row r="11729" hidden="1" x14ac:dyDescent="0.15"/>
    <row r="11730" hidden="1" x14ac:dyDescent="0.15"/>
    <row r="11731" hidden="1" x14ac:dyDescent="0.15"/>
    <row r="11732" hidden="1" x14ac:dyDescent="0.15"/>
    <row r="11733" hidden="1" x14ac:dyDescent="0.15"/>
    <row r="11734" hidden="1" x14ac:dyDescent="0.15"/>
    <row r="11735" hidden="1" x14ac:dyDescent="0.15"/>
    <row r="11736" hidden="1" x14ac:dyDescent="0.15"/>
    <row r="11737" hidden="1" x14ac:dyDescent="0.15"/>
    <row r="11738" hidden="1" x14ac:dyDescent="0.15"/>
    <row r="11739" hidden="1" x14ac:dyDescent="0.15"/>
    <row r="11740" hidden="1" x14ac:dyDescent="0.15"/>
    <row r="11741" hidden="1" x14ac:dyDescent="0.15"/>
    <row r="11742" hidden="1" x14ac:dyDescent="0.15"/>
    <row r="11743" hidden="1" x14ac:dyDescent="0.15"/>
    <row r="11744" hidden="1" x14ac:dyDescent="0.15"/>
    <row r="11745" hidden="1" x14ac:dyDescent="0.15"/>
    <row r="11746" hidden="1" x14ac:dyDescent="0.15"/>
    <row r="11747" hidden="1" x14ac:dyDescent="0.15"/>
    <row r="11748" hidden="1" x14ac:dyDescent="0.15"/>
    <row r="11749" hidden="1" x14ac:dyDescent="0.15"/>
    <row r="11750" hidden="1" x14ac:dyDescent="0.15"/>
    <row r="11751" hidden="1" x14ac:dyDescent="0.15"/>
    <row r="11752" hidden="1" x14ac:dyDescent="0.15"/>
    <row r="11753" hidden="1" x14ac:dyDescent="0.15"/>
    <row r="11754" hidden="1" x14ac:dyDescent="0.15"/>
    <row r="11755" hidden="1" x14ac:dyDescent="0.15"/>
    <row r="11756" hidden="1" x14ac:dyDescent="0.15"/>
    <row r="11757" hidden="1" x14ac:dyDescent="0.15"/>
    <row r="11758" hidden="1" x14ac:dyDescent="0.15"/>
    <row r="11759" hidden="1" x14ac:dyDescent="0.15"/>
    <row r="11760" hidden="1" x14ac:dyDescent="0.15"/>
    <row r="11761" hidden="1" x14ac:dyDescent="0.15"/>
    <row r="11762" hidden="1" x14ac:dyDescent="0.15"/>
    <row r="11763" hidden="1" x14ac:dyDescent="0.15"/>
    <row r="11764" hidden="1" x14ac:dyDescent="0.15"/>
    <row r="11765" hidden="1" x14ac:dyDescent="0.15"/>
    <row r="11766" hidden="1" x14ac:dyDescent="0.15"/>
    <row r="11767" hidden="1" x14ac:dyDescent="0.15"/>
    <row r="11768" hidden="1" x14ac:dyDescent="0.15"/>
    <row r="11769" hidden="1" x14ac:dyDescent="0.15"/>
    <row r="11770" hidden="1" x14ac:dyDescent="0.15"/>
    <row r="11771" hidden="1" x14ac:dyDescent="0.15"/>
    <row r="11772" hidden="1" x14ac:dyDescent="0.15"/>
    <row r="11773" hidden="1" x14ac:dyDescent="0.15"/>
    <row r="11774" hidden="1" x14ac:dyDescent="0.15"/>
    <row r="11775" hidden="1" x14ac:dyDescent="0.15"/>
    <row r="11776" hidden="1" x14ac:dyDescent="0.15"/>
    <row r="11777" hidden="1" x14ac:dyDescent="0.15"/>
    <row r="11778" hidden="1" x14ac:dyDescent="0.15"/>
    <row r="11779" hidden="1" x14ac:dyDescent="0.15"/>
    <row r="11780" hidden="1" x14ac:dyDescent="0.15"/>
    <row r="11781" hidden="1" x14ac:dyDescent="0.15"/>
    <row r="11782" hidden="1" x14ac:dyDescent="0.15"/>
    <row r="11783" hidden="1" x14ac:dyDescent="0.15"/>
    <row r="11784" hidden="1" x14ac:dyDescent="0.15"/>
    <row r="11785" hidden="1" x14ac:dyDescent="0.15"/>
    <row r="11786" hidden="1" x14ac:dyDescent="0.15"/>
    <row r="11787" hidden="1" x14ac:dyDescent="0.15"/>
    <row r="11788" hidden="1" x14ac:dyDescent="0.15"/>
    <row r="11789" hidden="1" x14ac:dyDescent="0.15"/>
    <row r="11790" hidden="1" x14ac:dyDescent="0.15"/>
    <row r="11791" hidden="1" x14ac:dyDescent="0.15"/>
    <row r="11792" hidden="1" x14ac:dyDescent="0.15"/>
    <row r="11793" hidden="1" x14ac:dyDescent="0.15"/>
    <row r="11794" hidden="1" x14ac:dyDescent="0.15"/>
    <row r="11795" hidden="1" x14ac:dyDescent="0.15"/>
    <row r="11796" hidden="1" x14ac:dyDescent="0.15"/>
    <row r="11797" hidden="1" x14ac:dyDescent="0.15"/>
    <row r="11798" hidden="1" x14ac:dyDescent="0.15"/>
    <row r="11799" hidden="1" x14ac:dyDescent="0.15"/>
    <row r="11800" hidden="1" x14ac:dyDescent="0.15"/>
    <row r="11801" hidden="1" x14ac:dyDescent="0.15"/>
    <row r="11802" hidden="1" x14ac:dyDescent="0.15"/>
    <row r="11803" hidden="1" x14ac:dyDescent="0.15"/>
    <row r="11804" hidden="1" x14ac:dyDescent="0.15"/>
    <row r="11805" hidden="1" x14ac:dyDescent="0.15"/>
    <row r="11806" hidden="1" x14ac:dyDescent="0.15"/>
    <row r="11807" hidden="1" x14ac:dyDescent="0.15"/>
    <row r="11808" hidden="1" x14ac:dyDescent="0.15"/>
    <row r="11809" hidden="1" x14ac:dyDescent="0.15"/>
    <row r="11810" hidden="1" x14ac:dyDescent="0.15"/>
    <row r="11811" hidden="1" x14ac:dyDescent="0.15"/>
    <row r="11812" hidden="1" x14ac:dyDescent="0.15"/>
    <row r="11813" hidden="1" x14ac:dyDescent="0.15"/>
    <row r="11814" hidden="1" x14ac:dyDescent="0.15"/>
    <row r="11815" hidden="1" x14ac:dyDescent="0.15"/>
    <row r="11816" hidden="1" x14ac:dyDescent="0.15"/>
    <row r="11817" hidden="1" x14ac:dyDescent="0.15"/>
    <row r="11818" hidden="1" x14ac:dyDescent="0.15"/>
    <row r="11819" hidden="1" x14ac:dyDescent="0.15"/>
    <row r="11820" hidden="1" x14ac:dyDescent="0.15"/>
    <row r="11821" hidden="1" x14ac:dyDescent="0.15"/>
    <row r="11822" hidden="1" x14ac:dyDescent="0.15"/>
    <row r="11823" hidden="1" x14ac:dyDescent="0.15"/>
    <row r="11824" hidden="1" x14ac:dyDescent="0.15"/>
    <row r="11825" hidden="1" x14ac:dyDescent="0.15"/>
    <row r="11826" hidden="1" x14ac:dyDescent="0.15"/>
    <row r="11827" hidden="1" x14ac:dyDescent="0.15"/>
    <row r="11828" hidden="1" x14ac:dyDescent="0.15"/>
    <row r="11829" hidden="1" x14ac:dyDescent="0.15"/>
    <row r="11830" hidden="1" x14ac:dyDescent="0.15"/>
    <row r="11831" hidden="1" x14ac:dyDescent="0.15"/>
    <row r="11832" hidden="1" x14ac:dyDescent="0.15"/>
    <row r="11833" hidden="1" x14ac:dyDescent="0.15"/>
    <row r="11834" hidden="1" x14ac:dyDescent="0.15"/>
    <row r="11835" hidden="1" x14ac:dyDescent="0.15"/>
    <row r="11836" hidden="1" x14ac:dyDescent="0.15"/>
    <row r="11837" hidden="1" x14ac:dyDescent="0.15"/>
    <row r="11838" hidden="1" x14ac:dyDescent="0.15"/>
    <row r="11839" hidden="1" x14ac:dyDescent="0.15"/>
    <row r="11840" hidden="1" x14ac:dyDescent="0.15"/>
    <row r="11841" hidden="1" x14ac:dyDescent="0.15"/>
    <row r="11842" hidden="1" x14ac:dyDescent="0.15"/>
    <row r="11843" hidden="1" x14ac:dyDescent="0.15"/>
    <row r="11844" hidden="1" x14ac:dyDescent="0.15"/>
    <row r="11845" hidden="1" x14ac:dyDescent="0.15"/>
    <row r="11846" hidden="1" x14ac:dyDescent="0.15"/>
    <row r="11847" hidden="1" x14ac:dyDescent="0.15"/>
    <row r="11848" hidden="1" x14ac:dyDescent="0.15"/>
    <row r="11849" hidden="1" x14ac:dyDescent="0.15"/>
    <row r="11850" hidden="1" x14ac:dyDescent="0.15"/>
    <row r="11851" hidden="1" x14ac:dyDescent="0.15"/>
    <row r="11852" hidden="1" x14ac:dyDescent="0.15"/>
    <row r="11853" hidden="1" x14ac:dyDescent="0.15"/>
    <row r="11854" hidden="1" x14ac:dyDescent="0.15"/>
    <row r="11855" hidden="1" x14ac:dyDescent="0.15"/>
    <row r="11856" hidden="1" x14ac:dyDescent="0.15"/>
    <row r="11857" hidden="1" x14ac:dyDescent="0.15"/>
    <row r="11858" hidden="1" x14ac:dyDescent="0.15"/>
    <row r="11859" hidden="1" x14ac:dyDescent="0.15"/>
    <row r="11860" hidden="1" x14ac:dyDescent="0.15"/>
    <row r="11861" hidden="1" x14ac:dyDescent="0.15"/>
    <row r="11862" hidden="1" x14ac:dyDescent="0.15"/>
    <row r="11863" hidden="1" x14ac:dyDescent="0.15"/>
    <row r="11864" hidden="1" x14ac:dyDescent="0.15"/>
    <row r="11865" hidden="1" x14ac:dyDescent="0.15"/>
    <row r="11866" hidden="1" x14ac:dyDescent="0.15"/>
    <row r="11867" hidden="1" x14ac:dyDescent="0.15"/>
    <row r="11868" hidden="1" x14ac:dyDescent="0.15"/>
    <row r="11869" hidden="1" x14ac:dyDescent="0.15"/>
    <row r="11870" hidden="1" x14ac:dyDescent="0.15"/>
    <row r="11871" hidden="1" x14ac:dyDescent="0.15"/>
    <row r="11872" hidden="1" x14ac:dyDescent="0.15"/>
    <row r="11873" hidden="1" x14ac:dyDescent="0.15"/>
    <row r="11874" hidden="1" x14ac:dyDescent="0.15"/>
    <row r="11875" hidden="1" x14ac:dyDescent="0.15"/>
    <row r="11876" hidden="1" x14ac:dyDescent="0.15"/>
    <row r="11877" hidden="1" x14ac:dyDescent="0.15"/>
    <row r="11878" hidden="1" x14ac:dyDescent="0.15"/>
    <row r="11879" hidden="1" x14ac:dyDescent="0.15"/>
    <row r="11880" hidden="1" x14ac:dyDescent="0.15"/>
    <row r="11881" hidden="1" x14ac:dyDescent="0.15"/>
    <row r="11882" hidden="1" x14ac:dyDescent="0.15"/>
    <row r="11883" hidden="1" x14ac:dyDescent="0.15"/>
    <row r="11884" hidden="1" x14ac:dyDescent="0.15"/>
    <row r="11885" hidden="1" x14ac:dyDescent="0.15"/>
    <row r="11886" hidden="1" x14ac:dyDescent="0.15"/>
    <row r="11887" hidden="1" x14ac:dyDescent="0.15"/>
    <row r="11888" hidden="1" x14ac:dyDescent="0.15"/>
    <row r="11889" hidden="1" x14ac:dyDescent="0.15"/>
    <row r="11890" hidden="1" x14ac:dyDescent="0.15"/>
    <row r="11891" hidden="1" x14ac:dyDescent="0.15"/>
    <row r="11892" hidden="1" x14ac:dyDescent="0.15"/>
    <row r="11893" hidden="1" x14ac:dyDescent="0.15"/>
    <row r="11894" hidden="1" x14ac:dyDescent="0.15"/>
    <row r="11895" hidden="1" x14ac:dyDescent="0.15"/>
    <row r="11896" hidden="1" x14ac:dyDescent="0.15"/>
    <row r="11897" hidden="1" x14ac:dyDescent="0.15"/>
    <row r="11898" hidden="1" x14ac:dyDescent="0.15"/>
    <row r="11899" hidden="1" x14ac:dyDescent="0.15"/>
    <row r="11900" hidden="1" x14ac:dyDescent="0.15"/>
    <row r="11901" hidden="1" x14ac:dyDescent="0.15"/>
    <row r="11902" hidden="1" x14ac:dyDescent="0.15"/>
    <row r="11903" hidden="1" x14ac:dyDescent="0.15"/>
    <row r="11904" hidden="1" x14ac:dyDescent="0.15"/>
    <row r="11905" hidden="1" x14ac:dyDescent="0.15"/>
    <row r="11906" hidden="1" x14ac:dyDescent="0.15"/>
    <row r="11907" hidden="1" x14ac:dyDescent="0.15"/>
    <row r="11908" hidden="1" x14ac:dyDescent="0.15"/>
    <row r="11909" hidden="1" x14ac:dyDescent="0.15"/>
    <row r="11910" hidden="1" x14ac:dyDescent="0.15"/>
    <row r="11911" hidden="1" x14ac:dyDescent="0.15"/>
    <row r="11912" hidden="1" x14ac:dyDescent="0.15"/>
    <row r="11913" hidden="1" x14ac:dyDescent="0.15"/>
    <row r="11914" hidden="1" x14ac:dyDescent="0.15"/>
    <row r="11915" hidden="1" x14ac:dyDescent="0.15"/>
    <row r="11916" hidden="1" x14ac:dyDescent="0.15"/>
    <row r="11917" hidden="1" x14ac:dyDescent="0.15"/>
    <row r="11918" hidden="1" x14ac:dyDescent="0.15"/>
    <row r="11919" hidden="1" x14ac:dyDescent="0.15"/>
    <row r="11920" hidden="1" x14ac:dyDescent="0.15"/>
    <row r="11921" hidden="1" x14ac:dyDescent="0.15"/>
    <row r="11922" hidden="1" x14ac:dyDescent="0.15"/>
    <row r="11923" hidden="1" x14ac:dyDescent="0.15"/>
    <row r="11924" hidden="1" x14ac:dyDescent="0.15"/>
    <row r="11925" hidden="1" x14ac:dyDescent="0.15"/>
    <row r="11926" hidden="1" x14ac:dyDescent="0.15"/>
    <row r="11927" hidden="1" x14ac:dyDescent="0.15"/>
    <row r="11928" hidden="1" x14ac:dyDescent="0.15"/>
    <row r="11929" hidden="1" x14ac:dyDescent="0.15"/>
    <row r="11930" hidden="1" x14ac:dyDescent="0.15"/>
    <row r="11931" hidden="1" x14ac:dyDescent="0.15"/>
    <row r="11932" hidden="1" x14ac:dyDescent="0.15"/>
    <row r="11933" hidden="1" x14ac:dyDescent="0.15"/>
    <row r="11934" hidden="1" x14ac:dyDescent="0.15"/>
    <row r="11935" hidden="1" x14ac:dyDescent="0.15"/>
    <row r="11936" hidden="1" x14ac:dyDescent="0.15"/>
    <row r="11937" hidden="1" x14ac:dyDescent="0.15"/>
    <row r="11938" hidden="1" x14ac:dyDescent="0.15"/>
    <row r="11939" hidden="1" x14ac:dyDescent="0.15"/>
    <row r="11940" hidden="1" x14ac:dyDescent="0.15"/>
    <row r="11941" hidden="1" x14ac:dyDescent="0.15"/>
    <row r="11942" hidden="1" x14ac:dyDescent="0.15"/>
    <row r="11943" hidden="1" x14ac:dyDescent="0.15"/>
    <row r="11944" hidden="1" x14ac:dyDescent="0.15"/>
    <row r="11945" hidden="1" x14ac:dyDescent="0.15"/>
    <row r="11946" hidden="1" x14ac:dyDescent="0.15"/>
    <row r="11947" hidden="1" x14ac:dyDescent="0.15"/>
    <row r="11948" hidden="1" x14ac:dyDescent="0.15"/>
    <row r="11949" hidden="1" x14ac:dyDescent="0.15"/>
    <row r="11950" hidden="1" x14ac:dyDescent="0.15"/>
    <row r="11951" hidden="1" x14ac:dyDescent="0.15"/>
    <row r="11952" hidden="1" x14ac:dyDescent="0.15"/>
    <row r="11953" hidden="1" x14ac:dyDescent="0.15"/>
    <row r="11954" hidden="1" x14ac:dyDescent="0.15"/>
    <row r="11955" hidden="1" x14ac:dyDescent="0.15"/>
    <row r="11956" hidden="1" x14ac:dyDescent="0.15"/>
    <row r="11957" hidden="1" x14ac:dyDescent="0.15"/>
    <row r="11958" hidden="1" x14ac:dyDescent="0.15"/>
    <row r="11959" hidden="1" x14ac:dyDescent="0.15"/>
    <row r="11960" hidden="1" x14ac:dyDescent="0.15"/>
    <row r="11961" hidden="1" x14ac:dyDescent="0.15"/>
    <row r="11962" hidden="1" x14ac:dyDescent="0.15"/>
    <row r="11963" hidden="1" x14ac:dyDescent="0.15"/>
    <row r="11964" hidden="1" x14ac:dyDescent="0.15"/>
    <row r="11965" hidden="1" x14ac:dyDescent="0.15"/>
    <row r="11966" hidden="1" x14ac:dyDescent="0.15"/>
    <row r="11967" hidden="1" x14ac:dyDescent="0.15"/>
    <row r="11968" hidden="1" x14ac:dyDescent="0.15"/>
    <row r="11969" hidden="1" x14ac:dyDescent="0.15"/>
    <row r="11970" hidden="1" x14ac:dyDescent="0.15"/>
    <row r="11971" hidden="1" x14ac:dyDescent="0.15"/>
    <row r="11972" hidden="1" x14ac:dyDescent="0.15"/>
    <row r="11973" hidden="1" x14ac:dyDescent="0.15"/>
    <row r="11974" hidden="1" x14ac:dyDescent="0.15"/>
    <row r="11975" hidden="1" x14ac:dyDescent="0.15"/>
    <row r="11976" hidden="1" x14ac:dyDescent="0.15"/>
    <row r="11977" hidden="1" x14ac:dyDescent="0.15"/>
    <row r="11978" hidden="1" x14ac:dyDescent="0.15"/>
    <row r="11979" hidden="1" x14ac:dyDescent="0.15"/>
    <row r="11980" hidden="1" x14ac:dyDescent="0.15"/>
    <row r="11981" hidden="1" x14ac:dyDescent="0.15"/>
    <row r="11982" hidden="1" x14ac:dyDescent="0.15"/>
    <row r="11983" hidden="1" x14ac:dyDescent="0.15"/>
    <row r="11984" hidden="1" x14ac:dyDescent="0.15"/>
    <row r="11985" hidden="1" x14ac:dyDescent="0.15"/>
    <row r="11986" hidden="1" x14ac:dyDescent="0.15"/>
    <row r="11987" hidden="1" x14ac:dyDescent="0.15"/>
    <row r="11988" hidden="1" x14ac:dyDescent="0.15"/>
    <row r="11989" hidden="1" x14ac:dyDescent="0.15"/>
    <row r="11990" hidden="1" x14ac:dyDescent="0.15"/>
    <row r="11991" hidden="1" x14ac:dyDescent="0.15"/>
    <row r="11992" hidden="1" x14ac:dyDescent="0.15"/>
    <row r="11993" hidden="1" x14ac:dyDescent="0.15"/>
    <row r="11994" hidden="1" x14ac:dyDescent="0.15"/>
    <row r="11995" hidden="1" x14ac:dyDescent="0.15"/>
    <row r="11996" hidden="1" x14ac:dyDescent="0.15"/>
    <row r="11997" hidden="1" x14ac:dyDescent="0.15"/>
    <row r="11998" hidden="1" x14ac:dyDescent="0.15"/>
    <row r="11999" hidden="1" x14ac:dyDescent="0.15"/>
    <row r="12000" hidden="1" x14ac:dyDescent="0.15"/>
    <row r="12001" hidden="1" x14ac:dyDescent="0.15"/>
    <row r="12002" hidden="1" x14ac:dyDescent="0.15"/>
    <row r="12003" hidden="1" x14ac:dyDescent="0.15"/>
    <row r="12004" hidden="1" x14ac:dyDescent="0.15"/>
    <row r="12005" hidden="1" x14ac:dyDescent="0.15"/>
    <row r="12006" hidden="1" x14ac:dyDescent="0.15"/>
    <row r="12007" hidden="1" x14ac:dyDescent="0.15"/>
    <row r="12008" hidden="1" x14ac:dyDescent="0.15"/>
    <row r="12009" hidden="1" x14ac:dyDescent="0.15"/>
    <row r="12010" hidden="1" x14ac:dyDescent="0.15"/>
    <row r="12011" hidden="1" x14ac:dyDescent="0.15"/>
    <row r="12012" hidden="1" x14ac:dyDescent="0.15"/>
    <row r="12013" hidden="1" x14ac:dyDescent="0.15"/>
    <row r="12014" hidden="1" x14ac:dyDescent="0.15"/>
    <row r="12015" hidden="1" x14ac:dyDescent="0.15"/>
    <row r="12016" hidden="1" x14ac:dyDescent="0.15"/>
    <row r="12017" hidden="1" x14ac:dyDescent="0.15"/>
    <row r="12018" hidden="1" x14ac:dyDescent="0.15"/>
    <row r="12019" hidden="1" x14ac:dyDescent="0.15"/>
    <row r="12020" hidden="1" x14ac:dyDescent="0.15"/>
    <row r="12021" hidden="1" x14ac:dyDescent="0.15"/>
    <row r="12022" hidden="1" x14ac:dyDescent="0.15"/>
    <row r="12023" hidden="1" x14ac:dyDescent="0.15"/>
    <row r="12024" hidden="1" x14ac:dyDescent="0.15"/>
    <row r="12025" hidden="1" x14ac:dyDescent="0.15"/>
    <row r="12026" hidden="1" x14ac:dyDescent="0.15"/>
    <row r="12027" hidden="1" x14ac:dyDescent="0.15"/>
    <row r="12028" hidden="1" x14ac:dyDescent="0.15"/>
    <row r="12029" hidden="1" x14ac:dyDescent="0.15"/>
    <row r="12030" hidden="1" x14ac:dyDescent="0.15"/>
    <row r="12031" hidden="1" x14ac:dyDescent="0.15"/>
    <row r="12032" hidden="1" x14ac:dyDescent="0.15"/>
    <row r="12033" hidden="1" x14ac:dyDescent="0.15"/>
    <row r="12034" hidden="1" x14ac:dyDescent="0.15"/>
    <row r="12035" hidden="1" x14ac:dyDescent="0.15"/>
    <row r="12036" hidden="1" x14ac:dyDescent="0.15"/>
    <row r="12037" hidden="1" x14ac:dyDescent="0.15"/>
    <row r="12038" hidden="1" x14ac:dyDescent="0.15"/>
    <row r="12039" hidden="1" x14ac:dyDescent="0.15"/>
    <row r="12040" hidden="1" x14ac:dyDescent="0.15"/>
    <row r="12041" hidden="1" x14ac:dyDescent="0.15"/>
    <row r="12042" hidden="1" x14ac:dyDescent="0.15"/>
    <row r="12043" hidden="1" x14ac:dyDescent="0.15"/>
    <row r="12044" hidden="1" x14ac:dyDescent="0.15"/>
    <row r="12045" hidden="1" x14ac:dyDescent="0.15"/>
    <row r="12046" hidden="1" x14ac:dyDescent="0.15"/>
    <row r="12047" hidden="1" x14ac:dyDescent="0.15"/>
    <row r="12048" hidden="1" x14ac:dyDescent="0.15"/>
    <row r="12049" hidden="1" x14ac:dyDescent="0.15"/>
    <row r="12050" hidden="1" x14ac:dyDescent="0.15"/>
    <row r="12051" hidden="1" x14ac:dyDescent="0.15"/>
    <row r="12052" hidden="1" x14ac:dyDescent="0.15"/>
    <row r="12053" hidden="1" x14ac:dyDescent="0.15"/>
    <row r="12054" hidden="1" x14ac:dyDescent="0.15"/>
    <row r="12055" hidden="1" x14ac:dyDescent="0.15"/>
    <row r="12056" hidden="1" x14ac:dyDescent="0.15"/>
    <row r="12057" hidden="1" x14ac:dyDescent="0.15"/>
    <row r="12058" hidden="1" x14ac:dyDescent="0.15"/>
    <row r="12059" hidden="1" x14ac:dyDescent="0.15"/>
    <row r="12060" hidden="1" x14ac:dyDescent="0.15"/>
    <row r="12061" hidden="1" x14ac:dyDescent="0.15"/>
    <row r="12062" hidden="1" x14ac:dyDescent="0.15"/>
    <row r="12063" hidden="1" x14ac:dyDescent="0.15"/>
    <row r="12064" hidden="1" x14ac:dyDescent="0.15"/>
    <row r="12065" hidden="1" x14ac:dyDescent="0.15"/>
    <row r="12066" hidden="1" x14ac:dyDescent="0.15"/>
    <row r="12067" hidden="1" x14ac:dyDescent="0.15"/>
    <row r="12068" hidden="1" x14ac:dyDescent="0.15"/>
    <row r="12069" hidden="1" x14ac:dyDescent="0.15"/>
    <row r="12070" hidden="1" x14ac:dyDescent="0.15"/>
    <row r="12071" hidden="1" x14ac:dyDescent="0.15"/>
    <row r="12072" hidden="1" x14ac:dyDescent="0.15"/>
    <row r="12073" hidden="1" x14ac:dyDescent="0.15"/>
    <row r="12074" hidden="1" x14ac:dyDescent="0.15"/>
    <row r="12075" hidden="1" x14ac:dyDescent="0.15"/>
    <row r="12076" hidden="1" x14ac:dyDescent="0.15"/>
    <row r="12077" hidden="1" x14ac:dyDescent="0.15"/>
    <row r="12078" hidden="1" x14ac:dyDescent="0.15"/>
    <row r="12079" hidden="1" x14ac:dyDescent="0.15"/>
    <row r="12080" hidden="1" x14ac:dyDescent="0.15"/>
    <row r="12081" hidden="1" x14ac:dyDescent="0.15"/>
    <row r="12082" hidden="1" x14ac:dyDescent="0.15"/>
    <row r="12083" hidden="1" x14ac:dyDescent="0.15"/>
    <row r="12084" hidden="1" x14ac:dyDescent="0.15"/>
    <row r="12085" hidden="1" x14ac:dyDescent="0.15"/>
    <row r="12086" hidden="1" x14ac:dyDescent="0.15"/>
    <row r="12087" hidden="1" x14ac:dyDescent="0.15"/>
    <row r="12088" hidden="1" x14ac:dyDescent="0.15"/>
    <row r="12089" hidden="1" x14ac:dyDescent="0.15"/>
    <row r="12090" hidden="1" x14ac:dyDescent="0.15"/>
    <row r="12091" hidden="1" x14ac:dyDescent="0.15"/>
    <row r="12092" hidden="1" x14ac:dyDescent="0.15"/>
    <row r="12093" hidden="1" x14ac:dyDescent="0.15"/>
    <row r="12094" hidden="1" x14ac:dyDescent="0.15"/>
    <row r="12095" hidden="1" x14ac:dyDescent="0.15"/>
    <row r="12096" hidden="1" x14ac:dyDescent="0.15"/>
    <row r="12097" hidden="1" x14ac:dyDescent="0.15"/>
    <row r="12098" hidden="1" x14ac:dyDescent="0.15"/>
    <row r="12099" hidden="1" x14ac:dyDescent="0.15"/>
    <row r="12100" hidden="1" x14ac:dyDescent="0.15"/>
    <row r="12101" hidden="1" x14ac:dyDescent="0.15"/>
    <row r="12102" hidden="1" x14ac:dyDescent="0.15"/>
    <row r="12103" hidden="1" x14ac:dyDescent="0.15"/>
    <row r="12104" hidden="1" x14ac:dyDescent="0.15"/>
    <row r="12105" hidden="1" x14ac:dyDescent="0.15"/>
    <row r="12106" hidden="1" x14ac:dyDescent="0.15"/>
    <row r="12107" hidden="1" x14ac:dyDescent="0.15"/>
    <row r="12108" hidden="1" x14ac:dyDescent="0.15"/>
    <row r="12109" hidden="1" x14ac:dyDescent="0.15"/>
    <row r="12110" hidden="1" x14ac:dyDescent="0.15"/>
    <row r="12111" hidden="1" x14ac:dyDescent="0.15"/>
    <row r="12112" hidden="1" x14ac:dyDescent="0.15"/>
    <row r="12113" hidden="1" x14ac:dyDescent="0.15"/>
    <row r="12114" hidden="1" x14ac:dyDescent="0.15"/>
    <row r="12115" hidden="1" x14ac:dyDescent="0.15"/>
    <row r="12116" hidden="1" x14ac:dyDescent="0.15"/>
    <row r="12117" hidden="1" x14ac:dyDescent="0.15"/>
    <row r="12118" hidden="1" x14ac:dyDescent="0.15"/>
    <row r="12119" hidden="1" x14ac:dyDescent="0.15"/>
    <row r="12120" hidden="1" x14ac:dyDescent="0.15"/>
    <row r="12121" hidden="1" x14ac:dyDescent="0.15"/>
    <row r="12122" hidden="1" x14ac:dyDescent="0.15"/>
    <row r="12123" hidden="1" x14ac:dyDescent="0.15"/>
    <row r="12124" hidden="1" x14ac:dyDescent="0.15"/>
    <row r="12125" hidden="1" x14ac:dyDescent="0.15"/>
    <row r="12126" hidden="1" x14ac:dyDescent="0.15"/>
    <row r="12127" hidden="1" x14ac:dyDescent="0.15"/>
    <row r="12128" hidden="1" x14ac:dyDescent="0.15"/>
    <row r="12129" hidden="1" x14ac:dyDescent="0.15"/>
    <row r="12130" hidden="1" x14ac:dyDescent="0.15"/>
    <row r="12131" hidden="1" x14ac:dyDescent="0.15"/>
    <row r="12132" hidden="1" x14ac:dyDescent="0.15"/>
    <row r="12133" hidden="1" x14ac:dyDescent="0.15"/>
    <row r="12134" hidden="1" x14ac:dyDescent="0.15"/>
    <row r="12135" hidden="1" x14ac:dyDescent="0.15"/>
    <row r="12136" hidden="1" x14ac:dyDescent="0.15"/>
    <row r="12137" hidden="1" x14ac:dyDescent="0.15"/>
    <row r="12138" hidden="1" x14ac:dyDescent="0.15"/>
    <row r="12139" hidden="1" x14ac:dyDescent="0.15"/>
    <row r="12140" hidden="1" x14ac:dyDescent="0.15"/>
    <row r="12141" hidden="1" x14ac:dyDescent="0.15"/>
    <row r="12142" hidden="1" x14ac:dyDescent="0.15"/>
    <row r="12143" hidden="1" x14ac:dyDescent="0.15"/>
    <row r="12144" hidden="1" x14ac:dyDescent="0.15"/>
    <row r="12145" hidden="1" x14ac:dyDescent="0.15"/>
    <row r="12146" hidden="1" x14ac:dyDescent="0.15"/>
    <row r="12147" hidden="1" x14ac:dyDescent="0.15"/>
    <row r="12148" hidden="1" x14ac:dyDescent="0.15"/>
    <row r="12149" hidden="1" x14ac:dyDescent="0.15"/>
    <row r="12150" hidden="1" x14ac:dyDescent="0.15"/>
    <row r="12151" hidden="1" x14ac:dyDescent="0.15"/>
    <row r="12152" hidden="1" x14ac:dyDescent="0.15"/>
    <row r="12153" hidden="1" x14ac:dyDescent="0.15"/>
    <row r="12154" hidden="1" x14ac:dyDescent="0.15"/>
    <row r="12155" hidden="1" x14ac:dyDescent="0.15"/>
    <row r="12156" hidden="1" x14ac:dyDescent="0.15"/>
    <row r="12157" hidden="1" x14ac:dyDescent="0.15"/>
    <row r="12158" hidden="1" x14ac:dyDescent="0.15"/>
    <row r="12159" hidden="1" x14ac:dyDescent="0.15"/>
    <row r="12160" hidden="1" x14ac:dyDescent="0.15"/>
    <row r="12161" hidden="1" x14ac:dyDescent="0.15"/>
    <row r="12162" hidden="1" x14ac:dyDescent="0.15"/>
    <row r="12163" hidden="1" x14ac:dyDescent="0.15"/>
    <row r="12164" hidden="1" x14ac:dyDescent="0.15"/>
    <row r="12165" hidden="1" x14ac:dyDescent="0.15"/>
    <row r="12166" hidden="1" x14ac:dyDescent="0.15"/>
    <row r="12167" hidden="1" x14ac:dyDescent="0.15"/>
    <row r="12168" hidden="1" x14ac:dyDescent="0.15"/>
    <row r="12169" hidden="1" x14ac:dyDescent="0.15"/>
    <row r="12170" hidden="1" x14ac:dyDescent="0.15"/>
    <row r="12171" hidden="1" x14ac:dyDescent="0.15"/>
    <row r="12172" hidden="1" x14ac:dyDescent="0.15"/>
    <row r="12173" hidden="1" x14ac:dyDescent="0.15"/>
    <row r="12174" hidden="1" x14ac:dyDescent="0.15"/>
    <row r="12175" hidden="1" x14ac:dyDescent="0.15"/>
    <row r="12176" hidden="1" x14ac:dyDescent="0.15"/>
    <row r="12177" hidden="1" x14ac:dyDescent="0.15"/>
    <row r="12178" hidden="1" x14ac:dyDescent="0.15"/>
    <row r="12179" hidden="1" x14ac:dyDescent="0.15"/>
    <row r="12180" hidden="1" x14ac:dyDescent="0.15"/>
    <row r="12181" hidden="1" x14ac:dyDescent="0.15"/>
    <row r="12182" hidden="1" x14ac:dyDescent="0.15"/>
    <row r="12183" hidden="1" x14ac:dyDescent="0.15"/>
    <row r="12184" hidden="1" x14ac:dyDescent="0.15"/>
    <row r="12185" hidden="1" x14ac:dyDescent="0.15"/>
    <row r="12186" hidden="1" x14ac:dyDescent="0.15"/>
    <row r="12187" hidden="1" x14ac:dyDescent="0.15"/>
    <row r="12188" hidden="1" x14ac:dyDescent="0.15"/>
    <row r="12189" hidden="1" x14ac:dyDescent="0.15"/>
    <row r="12190" hidden="1" x14ac:dyDescent="0.15"/>
    <row r="12191" hidden="1" x14ac:dyDescent="0.15"/>
    <row r="12192" hidden="1" x14ac:dyDescent="0.15"/>
    <row r="12193" hidden="1" x14ac:dyDescent="0.15"/>
    <row r="12194" hidden="1" x14ac:dyDescent="0.15"/>
    <row r="12195" hidden="1" x14ac:dyDescent="0.15"/>
    <row r="12196" hidden="1" x14ac:dyDescent="0.15"/>
    <row r="12197" hidden="1" x14ac:dyDescent="0.15"/>
    <row r="12198" hidden="1" x14ac:dyDescent="0.15"/>
    <row r="12199" hidden="1" x14ac:dyDescent="0.15"/>
    <row r="12200" hidden="1" x14ac:dyDescent="0.15"/>
    <row r="12201" hidden="1" x14ac:dyDescent="0.15"/>
    <row r="12202" hidden="1" x14ac:dyDescent="0.15"/>
    <row r="12203" hidden="1" x14ac:dyDescent="0.15"/>
    <row r="12204" hidden="1" x14ac:dyDescent="0.15"/>
    <row r="12205" hidden="1" x14ac:dyDescent="0.15"/>
    <row r="12206" hidden="1" x14ac:dyDescent="0.15"/>
    <row r="12207" hidden="1" x14ac:dyDescent="0.15"/>
    <row r="12208" hidden="1" x14ac:dyDescent="0.15"/>
    <row r="12209" hidden="1" x14ac:dyDescent="0.15"/>
    <row r="12210" hidden="1" x14ac:dyDescent="0.15"/>
    <row r="12211" hidden="1" x14ac:dyDescent="0.15"/>
    <row r="12212" hidden="1" x14ac:dyDescent="0.15"/>
    <row r="12213" hidden="1" x14ac:dyDescent="0.15"/>
    <row r="12214" hidden="1" x14ac:dyDescent="0.15"/>
    <row r="12215" hidden="1" x14ac:dyDescent="0.15"/>
    <row r="12216" hidden="1" x14ac:dyDescent="0.15"/>
    <row r="12217" hidden="1" x14ac:dyDescent="0.15"/>
    <row r="12218" hidden="1" x14ac:dyDescent="0.15"/>
    <row r="12219" hidden="1" x14ac:dyDescent="0.15"/>
    <row r="12220" hidden="1" x14ac:dyDescent="0.15"/>
    <row r="12221" hidden="1" x14ac:dyDescent="0.15"/>
    <row r="12222" hidden="1" x14ac:dyDescent="0.15"/>
    <row r="12223" hidden="1" x14ac:dyDescent="0.15"/>
    <row r="12224" hidden="1" x14ac:dyDescent="0.15"/>
    <row r="12225" hidden="1" x14ac:dyDescent="0.15"/>
    <row r="12226" hidden="1" x14ac:dyDescent="0.15"/>
    <row r="12227" hidden="1" x14ac:dyDescent="0.15"/>
    <row r="12228" hidden="1" x14ac:dyDescent="0.15"/>
    <row r="12229" hidden="1" x14ac:dyDescent="0.15"/>
    <row r="12230" hidden="1" x14ac:dyDescent="0.15"/>
    <row r="12231" hidden="1" x14ac:dyDescent="0.15"/>
    <row r="12232" hidden="1" x14ac:dyDescent="0.15"/>
    <row r="12233" hidden="1" x14ac:dyDescent="0.15"/>
    <row r="12234" hidden="1" x14ac:dyDescent="0.15"/>
    <row r="12235" hidden="1" x14ac:dyDescent="0.15"/>
    <row r="12236" hidden="1" x14ac:dyDescent="0.15"/>
    <row r="12237" hidden="1" x14ac:dyDescent="0.15"/>
    <row r="12238" hidden="1" x14ac:dyDescent="0.15"/>
    <row r="12239" hidden="1" x14ac:dyDescent="0.15"/>
    <row r="12240" hidden="1" x14ac:dyDescent="0.15"/>
    <row r="12241" hidden="1" x14ac:dyDescent="0.15"/>
    <row r="12242" hidden="1" x14ac:dyDescent="0.15"/>
    <row r="12243" hidden="1" x14ac:dyDescent="0.15"/>
    <row r="12244" hidden="1" x14ac:dyDescent="0.15"/>
    <row r="12245" hidden="1" x14ac:dyDescent="0.15"/>
    <row r="12246" hidden="1" x14ac:dyDescent="0.15"/>
    <row r="12247" hidden="1" x14ac:dyDescent="0.15"/>
    <row r="12248" hidden="1" x14ac:dyDescent="0.15"/>
    <row r="12249" hidden="1" x14ac:dyDescent="0.15"/>
    <row r="12250" hidden="1" x14ac:dyDescent="0.15"/>
    <row r="12251" hidden="1" x14ac:dyDescent="0.15"/>
    <row r="12252" hidden="1" x14ac:dyDescent="0.15"/>
    <row r="12253" hidden="1" x14ac:dyDescent="0.15"/>
    <row r="12254" hidden="1" x14ac:dyDescent="0.15"/>
    <row r="12255" hidden="1" x14ac:dyDescent="0.15"/>
    <row r="12256" hidden="1" x14ac:dyDescent="0.15"/>
    <row r="12257" hidden="1" x14ac:dyDescent="0.15"/>
    <row r="12258" hidden="1" x14ac:dyDescent="0.15"/>
    <row r="12259" hidden="1" x14ac:dyDescent="0.15"/>
    <row r="12260" hidden="1" x14ac:dyDescent="0.15"/>
    <row r="12261" hidden="1" x14ac:dyDescent="0.15"/>
    <row r="12262" hidden="1" x14ac:dyDescent="0.15"/>
    <row r="12263" hidden="1" x14ac:dyDescent="0.15"/>
    <row r="12264" hidden="1" x14ac:dyDescent="0.15"/>
    <row r="12265" hidden="1" x14ac:dyDescent="0.15"/>
    <row r="12266" hidden="1" x14ac:dyDescent="0.15"/>
    <row r="12267" hidden="1" x14ac:dyDescent="0.15"/>
    <row r="12268" hidden="1" x14ac:dyDescent="0.15"/>
    <row r="12269" hidden="1" x14ac:dyDescent="0.15"/>
    <row r="12270" hidden="1" x14ac:dyDescent="0.15"/>
    <row r="12271" hidden="1" x14ac:dyDescent="0.15"/>
    <row r="12272" hidden="1" x14ac:dyDescent="0.15"/>
    <row r="12273" hidden="1" x14ac:dyDescent="0.15"/>
    <row r="12274" hidden="1" x14ac:dyDescent="0.15"/>
    <row r="12275" hidden="1" x14ac:dyDescent="0.15"/>
    <row r="12276" hidden="1" x14ac:dyDescent="0.15"/>
    <row r="12277" hidden="1" x14ac:dyDescent="0.15"/>
    <row r="12278" hidden="1" x14ac:dyDescent="0.15"/>
    <row r="12279" hidden="1" x14ac:dyDescent="0.15"/>
    <row r="12280" hidden="1" x14ac:dyDescent="0.15"/>
    <row r="12281" hidden="1" x14ac:dyDescent="0.15"/>
    <row r="12282" hidden="1" x14ac:dyDescent="0.15"/>
    <row r="12283" hidden="1" x14ac:dyDescent="0.15"/>
    <row r="12284" hidden="1" x14ac:dyDescent="0.15"/>
    <row r="12285" hidden="1" x14ac:dyDescent="0.15"/>
    <row r="12286" hidden="1" x14ac:dyDescent="0.15"/>
    <row r="12287" hidden="1" x14ac:dyDescent="0.15"/>
    <row r="12288" hidden="1" x14ac:dyDescent="0.15"/>
    <row r="12289" hidden="1" x14ac:dyDescent="0.15"/>
    <row r="12290" hidden="1" x14ac:dyDescent="0.15"/>
    <row r="12291" hidden="1" x14ac:dyDescent="0.15"/>
    <row r="12292" hidden="1" x14ac:dyDescent="0.15"/>
    <row r="12293" hidden="1" x14ac:dyDescent="0.15"/>
    <row r="12294" hidden="1" x14ac:dyDescent="0.15"/>
    <row r="12295" hidden="1" x14ac:dyDescent="0.15"/>
    <row r="12296" hidden="1" x14ac:dyDescent="0.15"/>
    <row r="12297" hidden="1" x14ac:dyDescent="0.15"/>
    <row r="12298" hidden="1" x14ac:dyDescent="0.15"/>
    <row r="12299" hidden="1" x14ac:dyDescent="0.15"/>
    <row r="12300" hidden="1" x14ac:dyDescent="0.15"/>
    <row r="12301" hidden="1" x14ac:dyDescent="0.15"/>
    <row r="12302" hidden="1" x14ac:dyDescent="0.15"/>
    <row r="12303" hidden="1" x14ac:dyDescent="0.15"/>
    <row r="12304" hidden="1" x14ac:dyDescent="0.15"/>
    <row r="12305" hidden="1" x14ac:dyDescent="0.15"/>
    <row r="12306" hidden="1" x14ac:dyDescent="0.15"/>
    <row r="12307" hidden="1" x14ac:dyDescent="0.15"/>
    <row r="12308" hidden="1" x14ac:dyDescent="0.15"/>
    <row r="12309" hidden="1" x14ac:dyDescent="0.15"/>
    <row r="12310" hidden="1" x14ac:dyDescent="0.15"/>
    <row r="12311" hidden="1" x14ac:dyDescent="0.15"/>
    <row r="12312" hidden="1" x14ac:dyDescent="0.15"/>
    <row r="12313" hidden="1" x14ac:dyDescent="0.15"/>
    <row r="12314" hidden="1" x14ac:dyDescent="0.15"/>
    <row r="12315" hidden="1" x14ac:dyDescent="0.15"/>
    <row r="12316" hidden="1" x14ac:dyDescent="0.15"/>
    <row r="12317" hidden="1" x14ac:dyDescent="0.15"/>
    <row r="12318" hidden="1" x14ac:dyDescent="0.15"/>
    <row r="12319" hidden="1" x14ac:dyDescent="0.15"/>
    <row r="12320" hidden="1" x14ac:dyDescent="0.15"/>
    <row r="12321" hidden="1" x14ac:dyDescent="0.15"/>
    <row r="12322" hidden="1" x14ac:dyDescent="0.15"/>
    <row r="12323" hidden="1" x14ac:dyDescent="0.15"/>
    <row r="12324" hidden="1" x14ac:dyDescent="0.15"/>
    <row r="12325" hidden="1" x14ac:dyDescent="0.15"/>
    <row r="12326" hidden="1" x14ac:dyDescent="0.15"/>
    <row r="12327" hidden="1" x14ac:dyDescent="0.15"/>
    <row r="12328" hidden="1" x14ac:dyDescent="0.15"/>
    <row r="12329" hidden="1" x14ac:dyDescent="0.15"/>
    <row r="12330" hidden="1" x14ac:dyDescent="0.15"/>
    <row r="12331" hidden="1" x14ac:dyDescent="0.15"/>
    <row r="12332" hidden="1" x14ac:dyDescent="0.15"/>
    <row r="12333" hidden="1" x14ac:dyDescent="0.15"/>
    <row r="12334" hidden="1" x14ac:dyDescent="0.15"/>
    <row r="12335" hidden="1" x14ac:dyDescent="0.15"/>
    <row r="12336" hidden="1" x14ac:dyDescent="0.15"/>
    <row r="12337" hidden="1" x14ac:dyDescent="0.15"/>
    <row r="12338" hidden="1" x14ac:dyDescent="0.15"/>
    <row r="12339" hidden="1" x14ac:dyDescent="0.15"/>
    <row r="12340" hidden="1" x14ac:dyDescent="0.15"/>
    <row r="12341" hidden="1" x14ac:dyDescent="0.15"/>
    <row r="12342" hidden="1" x14ac:dyDescent="0.15"/>
    <row r="12343" hidden="1" x14ac:dyDescent="0.15"/>
    <row r="12344" hidden="1" x14ac:dyDescent="0.15"/>
    <row r="12345" hidden="1" x14ac:dyDescent="0.15"/>
    <row r="12346" hidden="1" x14ac:dyDescent="0.15"/>
    <row r="12347" hidden="1" x14ac:dyDescent="0.15"/>
    <row r="12348" hidden="1" x14ac:dyDescent="0.15"/>
    <row r="12349" hidden="1" x14ac:dyDescent="0.15"/>
    <row r="12350" hidden="1" x14ac:dyDescent="0.15"/>
    <row r="12351" hidden="1" x14ac:dyDescent="0.15"/>
    <row r="12352" hidden="1" x14ac:dyDescent="0.15"/>
    <row r="12353" hidden="1" x14ac:dyDescent="0.15"/>
    <row r="12354" hidden="1" x14ac:dyDescent="0.15"/>
    <row r="12355" hidden="1" x14ac:dyDescent="0.15"/>
    <row r="12356" hidden="1" x14ac:dyDescent="0.15"/>
    <row r="12357" hidden="1" x14ac:dyDescent="0.15"/>
    <row r="12358" hidden="1" x14ac:dyDescent="0.15"/>
    <row r="12359" hidden="1" x14ac:dyDescent="0.15"/>
    <row r="12360" hidden="1" x14ac:dyDescent="0.15"/>
    <row r="12361" hidden="1" x14ac:dyDescent="0.15"/>
    <row r="12362" hidden="1" x14ac:dyDescent="0.15"/>
    <row r="12363" hidden="1" x14ac:dyDescent="0.15"/>
    <row r="12364" hidden="1" x14ac:dyDescent="0.15"/>
    <row r="12365" hidden="1" x14ac:dyDescent="0.15"/>
    <row r="12366" hidden="1" x14ac:dyDescent="0.15"/>
    <row r="12367" hidden="1" x14ac:dyDescent="0.15"/>
    <row r="12368" hidden="1" x14ac:dyDescent="0.15"/>
    <row r="12369" hidden="1" x14ac:dyDescent="0.15"/>
    <row r="12370" hidden="1" x14ac:dyDescent="0.15"/>
    <row r="12371" hidden="1" x14ac:dyDescent="0.15"/>
    <row r="12372" hidden="1" x14ac:dyDescent="0.15"/>
    <row r="12373" hidden="1" x14ac:dyDescent="0.15"/>
    <row r="12374" hidden="1" x14ac:dyDescent="0.15"/>
    <row r="12375" hidden="1" x14ac:dyDescent="0.15"/>
    <row r="12376" hidden="1" x14ac:dyDescent="0.15"/>
    <row r="12377" hidden="1" x14ac:dyDescent="0.15"/>
    <row r="12378" hidden="1" x14ac:dyDescent="0.15"/>
    <row r="12379" hidden="1" x14ac:dyDescent="0.15"/>
    <row r="12380" hidden="1" x14ac:dyDescent="0.15"/>
    <row r="12381" hidden="1" x14ac:dyDescent="0.15"/>
    <row r="12382" hidden="1" x14ac:dyDescent="0.15"/>
    <row r="12383" hidden="1" x14ac:dyDescent="0.15"/>
    <row r="12384" hidden="1" x14ac:dyDescent="0.15"/>
    <row r="12385" hidden="1" x14ac:dyDescent="0.15"/>
    <row r="12386" hidden="1" x14ac:dyDescent="0.15"/>
    <row r="12387" hidden="1" x14ac:dyDescent="0.15"/>
    <row r="12388" hidden="1" x14ac:dyDescent="0.15"/>
    <row r="12389" hidden="1" x14ac:dyDescent="0.15"/>
    <row r="12390" hidden="1" x14ac:dyDescent="0.15"/>
    <row r="12391" hidden="1" x14ac:dyDescent="0.15"/>
    <row r="12392" hidden="1" x14ac:dyDescent="0.15"/>
    <row r="12393" hidden="1" x14ac:dyDescent="0.15"/>
    <row r="12394" hidden="1" x14ac:dyDescent="0.15"/>
    <row r="12395" hidden="1" x14ac:dyDescent="0.15"/>
    <row r="12396" hidden="1" x14ac:dyDescent="0.15"/>
    <row r="12397" hidden="1" x14ac:dyDescent="0.15"/>
    <row r="12398" hidden="1" x14ac:dyDescent="0.15"/>
    <row r="12399" hidden="1" x14ac:dyDescent="0.15"/>
    <row r="12400" hidden="1" x14ac:dyDescent="0.15"/>
    <row r="12401" hidden="1" x14ac:dyDescent="0.15"/>
    <row r="12402" hidden="1" x14ac:dyDescent="0.15"/>
    <row r="12403" hidden="1" x14ac:dyDescent="0.15"/>
    <row r="12404" hidden="1" x14ac:dyDescent="0.15"/>
    <row r="12405" hidden="1" x14ac:dyDescent="0.15"/>
    <row r="12406" hidden="1" x14ac:dyDescent="0.15"/>
    <row r="12407" hidden="1" x14ac:dyDescent="0.15"/>
    <row r="12408" hidden="1" x14ac:dyDescent="0.15"/>
    <row r="12409" hidden="1" x14ac:dyDescent="0.15"/>
    <row r="12410" hidden="1" x14ac:dyDescent="0.15"/>
    <row r="12411" hidden="1" x14ac:dyDescent="0.15"/>
    <row r="12412" hidden="1" x14ac:dyDescent="0.15"/>
    <row r="12413" hidden="1" x14ac:dyDescent="0.15"/>
    <row r="12414" hidden="1" x14ac:dyDescent="0.15"/>
    <row r="12415" hidden="1" x14ac:dyDescent="0.15"/>
    <row r="12416" hidden="1" x14ac:dyDescent="0.15"/>
    <row r="12417" hidden="1" x14ac:dyDescent="0.15"/>
    <row r="12418" hidden="1" x14ac:dyDescent="0.15"/>
    <row r="12419" hidden="1" x14ac:dyDescent="0.15"/>
    <row r="12420" hidden="1" x14ac:dyDescent="0.15"/>
    <row r="12421" hidden="1" x14ac:dyDescent="0.15"/>
    <row r="12422" hidden="1" x14ac:dyDescent="0.15"/>
    <row r="12423" hidden="1" x14ac:dyDescent="0.15"/>
    <row r="12424" hidden="1" x14ac:dyDescent="0.15"/>
    <row r="12425" hidden="1" x14ac:dyDescent="0.15"/>
    <row r="12426" hidden="1" x14ac:dyDescent="0.15"/>
    <row r="12427" hidden="1" x14ac:dyDescent="0.15"/>
    <row r="12428" hidden="1" x14ac:dyDescent="0.15"/>
    <row r="12429" hidden="1" x14ac:dyDescent="0.15"/>
    <row r="12430" hidden="1" x14ac:dyDescent="0.15"/>
    <row r="12431" hidden="1" x14ac:dyDescent="0.15"/>
    <row r="12432" hidden="1" x14ac:dyDescent="0.15"/>
    <row r="12433" hidden="1" x14ac:dyDescent="0.15"/>
    <row r="12434" hidden="1" x14ac:dyDescent="0.15"/>
    <row r="12435" hidden="1" x14ac:dyDescent="0.15"/>
    <row r="12436" hidden="1" x14ac:dyDescent="0.15"/>
    <row r="12437" hidden="1" x14ac:dyDescent="0.15"/>
    <row r="12438" hidden="1" x14ac:dyDescent="0.15"/>
    <row r="12439" hidden="1" x14ac:dyDescent="0.15"/>
    <row r="12440" hidden="1" x14ac:dyDescent="0.15"/>
    <row r="12441" hidden="1" x14ac:dyDescent="0.15"/>
    <row r="12442" hidden="1" x14ac:dyDescent="0.15"/>
    <row r="12443" hidden="1" x14ac:dyDescent="0.15"/>
    <row r="12444" hidden="1" x14ac:dyDescent="0.15"/>
    <row r="12445" hidden="1" x14ac:dyDescent="0.15"/>
    <row r="12446" hidden="1" x14ac:dyDescent="0.15"/>
    <row r="12447" hidden="1" x14ac:dyDescent="0.15"/>
    <row r="12448" hidden="1" x14ac:dyDescent="0.15"/>
    <row r="12449" hidden="1" x14ac:dyDescent="0.15"/>
    <row r="12450" hidden="1" x14ac:dyDescent="0.15"/>
    <row r="12451" hidden="1" x14ac:dyDescent="0.15"/>
    <row r="12452" hidden="1" x14ac:dyDescent="0.15"/>
    <row r="12453" hidden="1" x14ac:dyDescent="0.15"/>
    <row r="12454" hidden="1" x14ac:dyDescent="0.15"/>
    <row r="12455" hidden="1" x14ac:dyDescent="0.15"/>
    <row r="12456" hidden="1" x14ac:dyDescent="0.15"/>
    <row r="12457" hidden="1" x14ac:dyDescent="0.15"/>
    <row r="12458" hidden="1" x14ac:dyDescent="0.15"/>
    <row r="12459" hidden="1" x14ac:dyDescent="0.15"/>
    <row r="12460" hidden="1" x14ac:dyDescent="0.15"/>
    <row r="12461" hidden="1" x14ac:dyDescent="0.15"/>
    <row r="12462" hidden="1" x14ac:dyDescent="0.15"/>
    <row r="12463" hidden="1" x14ac:dyDescent="0.15"/>
    <row r="12464" hidden="1" x14ac:dyDescent="0.15"/>
    <row r="12465" hidden="1" x14ac:dyDescent="0.15"/>
    <row r="12466" hidden="1" x14ac:dyDescent="0.15"/>
    <row r="12467" hidden="1" x14ac:dyDescent="0.15"/>
    <row r="12468" hidden="1" x14ac:dyDescent="0.15"/>
    <row r="12469" hidden="1" x14ac:dyDescent="0.15"/>
    <row r="12470" hidden="1" x14ac:dyDescent="0.15"/>
    <row r="12471" hidden="1" x14ac:dyDescent="0.15"/>
    <row r="12472" hidden="1" x14ac:dyDescent="0.15"/>
    <row r="12473" hidden="1" x14ac:dyDescent="0.15"/>
    <row r="12474" hidden="1" x14ac:dyDescent="0.15"/>
    <row r="12475" hidden="1" x14ac:dyDescent="0.15"/>
    <row r="12476" hidden="1" x14ac:dyDescent="0.15"/>
    <row r="12477" hidden="1" x14ac:dyDescent="0.15"/>
    <row r="12478" hidden="1" x14ac:dyDescent="0.15"/>
    <row r="12479" hidden="1" x14ac:dyDescent="0.15"/>
    <row r="12480" hidden="1" x14ac:dyDescent="0.15"/>
    <row r="12481" hidden="1" x14ac:dyDescent="0.15"/>
    <row r="12482" hidden="1" x14ac:dyDescent="0.15"/>
    <row r="12483" hidden="1" x14ac:dyDescent="0.15"/>
    <row r="12484" hidden="1" x14ac:dyDescent="0.15"/>
    <row r="12485" hidden="1" x14ac:dyDescent="0.15"/>
    <row r="12486" hidden="1" x14ac:dyDescent="0.15"/>
    <row r="12487" hidden="1" x14ac:dyDescent="0.15"/>
    <row r="12488" hidden="1" x14ac:dyDescent="0.15"/>
    <row r="12489" hidden="1" x14ac:dyDescent="0.15"/>
    <row r="12490" hidden="1" x14ac:dyDescent="0.15"/>
    <row r="12491" hidden="1" x14ac:dyDescent="0.15"/>
    <row r="12492" hidden="1" x14ac:dyDescent="0.15"/>
    <row r="12493" hidden="1" x14ac:dyDescent="0.15"/>
    <row r="12494" hidden="1" x14ac:dyDescent="0.15"/>
    <row r="12495" hidden="1" x14ac:dyDescent="0.15"/>
    <row r="12496" hidden="1" x14ac:dyDescent="0.15"/>
    <row r="12497" hidden="1" x14ac:dyDescent="0.15"/>
    <row r="12498" hidden="1" x14ac:dyDescent="0.15"/>
    <row r="12499" hidden="1" x14ac:dyDescent="0.15"/>
    <row r="12500" hidden="1" x14ac:dyDescent="0.15"/>
    <row r="12501" hidden="1" x14ac:dyDescent="0.15"/>
    <row r="12502" hidden="1" x14ac:dyDescent="0.15"/>
    <row r="12503" hidden="1" x14ac:dyDescent="0.15"/>
    <row r="12504" hidden="1" x14ac:dyDescent="0.15"/>
    <row r="12505" hidden="1" x14ac:dyDescent="0.15"/>
    <row r="12506" hidden="1" x14ac:dyDescent="0.15"/>
    <row r="12507" hidden="1" x14ac:dyDescent="0.15"/>
    <row r="12508" hidden="1" x14ac:dyDescent="0.15"/>
    <row r="12509" hidden="1" x14ac:dyDescent="0.15"/>
    <row r="12510" hidden="1" x14ac:dyDescent="0.15"/>
    <row r="12511" hidden="1" x14ac:dyDescent="0.15"/>
    <row r="12512" hidden="1" x14ac:dyDescent="0.15"/>
    <row r="12513" hidden="1" x14ac:dyDescent="0.15"/>
    <row r="12514" hidden="1" x14ac:dyDescent="0.15"/>
    <row r="12515" hidden="1" x14ac:dyDescent="0.15"/>
    <row r="12516" hidden="1" x14ac:dyDescent="0.15"/>
    <row r="12517" hidden="1" x14ac:dyDescent="0.15"/>
    <row r="12518" hidden="1" x14ac:dyDescent="0.15"/>
    <row r="12519" hidden="1" x14ac:dyDescent="0.15"/>
    <row r="12520" hidden="1" x14ac:dyDescent="0.15"/>
    <row r="12521" hidden="1" x14ac:dyDescent="0.15"/>
    <row r="12522" hidden="1" x14ac:dyDescent="0.15"/>
    <row r="12523" hidden="1" x14ac:dyDescent="0.15"/>
    <row r="12524" hidden="1" x14ac:dyDescent="0.15"/>
    <row r="12525" hidden="1" x14ac:dyDescent="0.15"/>
    <row r="12526" hidden="1" x14ac:dyDescent="0.15"/>
    <row r="12527" hidden="1" x14ac:dyDescent="0.15"/>
    <row r="12528" hidden="1" x14ac:dyDescent="0.15"/>
    <row r="12529" hidden="1" x14ac:dyDescent="0.15"/>
    <row r="12530" hidden="1" x14ac:dyDescent="0.15"/>
    <row r="12531" hidden="1" x14ac:dyDescent="0.15"/>
    <row r="12532" hidden="1" x14ac:dyDescent="0.15"/>
    <row r="12533" hidden="1" x14ac:dyDescent="0.15"/>
    <row r="12534" hidden="1" x14ac:dyDescent="0.15"/>
    <row r="12535" hidden="1" x14ac:dyDescent="0.15"/>
    <row r="12536" hidden="1" x14ac:dyDescent="0.15"/>
    <row r="12537" hidden="1" x14ac:dyDescent="0.15"/>
    <row r="12538" hidden="1" x14ac:dyDescent="0.15"/>
    <row r="12539" hidden="1" x14ac:dyDescent="0.15"/>
    <row r="12540" hidden="1" x14ac:dyDescent="0.15"/>
    <row r="12541" hidden="1" x14ac:dyDescent="0.15"/>
    <row r="12542" hidden="1" x14ac:dyDescent="0.15"/>
    <row r="12543" hidden="1" x14ac:dyDescent="0.15"/>
    <row r="12544" hidden="1" x14ac:dyDescent="0.15"/>
    <row r="12545" hidden="1" x14ac:dyDescent="0.15"/>
    <row r="12546" hidden="1" x14ac:dyDescent="0.15"/>
    <row r="12547" hidden="1" x14ac:dyDescent="0.15"/>
    <row r="12548" hidden="1" x14ac:dyDescent="0.15"/>
    <row r="12549" hidden="1" x14ac:dyDescent="0.15"/>
    <row r="12550" hidden="1" x14ac:dyDescent="0.15"/>
    <row r="12551" hidden="1" x14ac:dyDescent="0.15"/>
    <row r="12552" hidden="1" x14ac:dyDescent="0.15"/>
    <row r="12553" hidden="1" x14ac:dyDescent="0.15"/>
    <row r="12554" hidden="1" x14ac:dyDescent="0.15"/>
    <row r="12555" hidden="1" x14ac:dyDescent="0.15"/>
    <row r="12556" hidden="1" x14ac:dyDescent="0.15"/>
    <row r="12557" hidden="1" x14ac:dyDescent="0.15"/>
    <row r="12558" hidden="1" x14ac:dyDescent="0.15"/>
    <row r="12559" hidden="1" x14ac:dyDescent="0.15"/>
    <row r="12560" hidden="1" x14ac:dyDescent="0.15"/>
    <row r="12561" hidden="1" x14ac:dyDescent="0.15"/>
    <row r="12562" hidden="1" x14ac:dyDescent="0.15"/>
    <row r="12563" hidden="1" x14ac:dyDescent="0.15"/>
    <row r="12564" hidden="1" x14ac:dyDescent="0.15"/>
    <row r="12565" hidden="1" x14ac:dyDescent="0.15"/>
    <row r="12566" hidden="1" x14ac:dyDescent="0.15"/>
    <row r="12567" hidden="1" x14ac:dyDescent="0.15"/>
    <row r="12568" hidden="1" x14ac:dyDescent="0.15"/>
    <row r="12569" hidden="1" x14ac:dyDescent="0.15"/>
    <row r="12570" hidden="1" x14ac:dyDescent="0.15"/>
    <row r="12571" hidden="1" x14ac:dyDescent="0.15"/>
    <row r="12572" hidden="1" x14ac:dyDescent="0.15"/>
    <row r="12573" hidden="1" x14ac:dyDescent="0.15"/>
    <row r="12574" hidden="1" x14ac:dyDescent="0.15"/>
    <row r="12575" hidden="1" x14ac:dyDescent="0.15"/>
    <row r="12576" hidden="1" x14ac:dyDescent="0.15"/>
    <row r="12577" hidden="1" x14ac:dyDescent="0.15"/>
    <row r="12578" hidden="1" x14ac:dyDescent="0.15"/>
    <row r="12579" hidden="1" x14ac:dyDescent="0.15"/>
    <row r="12580" hidden="1" x14ac:dyDescent="0.15"/>
    <row r="12581" hidden="1" x14ac:dyDescent="0.15"/>
    <row r="12582" hidden="1" x14ac:dyDescent="0.15"/>
    <row r="12583" hidden="1" x14ac:dyDescent="0.15"/>
    <row r="12584" hidden="1" x14ac:dyDescent="0.15"/>
    <row r="12585" hidden="1" x14ac:dyDescent="0.15"/>
    <row r="12586" hidden="1" x14ac:dyDescent="0.15"/>
    <row r="12587" hidden="1" x14ac:dyDescent="0.15"/>
    <row r="12588" hidden="1" x14ac:dyDescent="0.15"/>
    <row r="12589" hidden="1" x14ac:dyDescent="0.15"/>
    <row r="12590" hidden="1" x14ac:dyDescent="0.15"/>
    <row r="12591" hidden="1" x14ac:dyDescent="0.15"/>
    <row r="12592" hidden="1" x14ac:dyDescent="0.15"/>
    <row r="12593" hidden="1" x14ac:dyDescent="0.15"/>
    <row r="12594" hidden="1" x14ac:dyDescent="0.15"/>
    <row r="12595" hidden="1" x14ac:dyDescent="0.15"/>
    <row r="12596" hidden="1" x14ac:dyDescent="0.15"/>
    <row r="12597" hidden="1" x14ac:dyDescent="0.15"/>
    <row r="12598" hidden="1" x14ac:dyDescent="0.15"/>
    <row r="12599" hidden="1" x14ac:dyDescent="0.15"/>
    <row r="12600" hidden="1" x14ac:dyDescent="0.15"/>
    <row r="12601" hidden="1" x14ac:dyDescent="0.15"/>
    <row r="12602" hidden="1" x14ac:dyDescent="0.15"/>
    <row r="12603" hidden="1" x14ac:dyDescent="0.15"/>
    <row r="12604" hidden="1" x14ac:dyDescent="0.15"/>
    <row r="12605" hidden="1" x14ac:dyDescent="0.15"/>
    <row r="12606" hidden="1" x14ac:dyDescent="0.15"/>
    <row r="12607" hidden="1" x14ac:dyDescent="0.15"/>
    <row r="12608" hidden="1" x14ac:dyDescent="0.15"/>
    <row r="12609" hidden="1" x14ac:dyDescent="0.15"/>
    <row r="12610" hidden="1" x14ac:dyDescent="0.15"/>
    <row r="12611" hidden="1" x14ac:dyDescent="0.15"/>
    <row r="12612" hidden="1" x14ac:dyDescent="0.15"/>
    <row r="12613" hidden="1" x14ac:dyDescent="0.15"/>
    <row r="12614" hidden="1" x14ac:dyDescent="0.15"/>
    <row r="12615" hidden="1" x14ac:dyDescent="0.15"/>
    <row r="12616" hidden="1" x14ac:dyDescent="0.15"/>
    <row r="12617" hidden="1" x14ac:dyDescent="0.15"/>
    <row r="12618" hidden="1" x14ac:dyDescent="0.15"/>
    <row r="12619" hidden="1" x14ac:dyDescent="0.15"/>
    <row r="12620" hidden="1" x14ac:dyDescent="0.15"/>
    <row r="12621" hidden="1" x14ac:dyDescent="0.15"/>
    <row r="12622" hidden="1" x14ac:dyDescent="0.15"/>
    <row r="12623" hidden="1" x14ac:dyDescent="0.15"/>
    <row r="12624" hidden="1" x14ac:dyDescent="0.15"/>
    <row r="12625" hidden="1" x14ac:dyDescent="0.15"/>
    <row r="12626" hidden="1" x14ac:dyDescent="0.15"/>
    <row r="12627" hidden="1" x14ac:dyDescent="0.15"/>
    <row r="12628" hidden="1" x14ac:dyDescent="0.15"/>
    <row r="12629" hidden="1" x14ac:dyDescent="0.15"/>
    <row r="12630" hidden="1" x14ac:dyDescent="0.15"/>
    <row r="12631" hidden="1" x14ac:dyDescent="0.15"/>
    <row r="12632" hidden="1" x14ac:dyDescent="0.15"/>
    <row r="12633" hidden="1" x14ac:dyDescent="0.15"/>
    <row r="12634" hidden="1" x14ac:dyDescent="0.15"/>
    <row r="12635" hidden="1" x14ac:dyDescent="0.15"/>
    <row r="12636" hidden="1" x14ac:dyDescent="0.15"/>
    <row r="12637" hidden="1" x14ac:dyDescent="0.15"/>
    <row r="12638" hidden="1" x14ac:dyDescent="0.15"/>
    <row r="12639" hidden="1" x14ac:dyDescent="0.15"/>
    <row r="12640" hidden="1" x14ac:dyDescent="0.15"/>
    <row r="12641" hidden="1" x14ac:dyDescent="0.15"/>
    <row r="12642" hidden="1" x14ac:dyDescent="0.15"/>
    <row r="12643" hidden="1" x14ac:dyDescent="0.15"/>
    <row r="12644" hidden="1" x14ac:dyDescent="0.15"/>
    <row r="12645" hidden="1" x14ac:dyDescent="0.15"/>
    <row r="12646" hidden="1" x14ac:dyDescent="0.15"/>
    <row r="12647" hidden="1" x14ac:dyDescent="0.15"/>
    <row r="12648" hidden="1" x14ac:dyDescent="0.15"/>
    <row r="12649" hidden="1" x14ac:dyDescent="0.15"/>
    <row r="12650" hidden="1" x14ac:dyDescent="0.15"/>
    <row r="12651" hidden="1" x14ac:dyDescent="0.15"/>
    <row r="12652" hidden="1" x14ac:dyDescent="0.15"/>
    <row r="12653" hidden="1" x14ac:dyDescent="0.15"/>
    <row r="12654" hidden="1" x14ac:dyDescent="0.15"/>
    <row r="12655" hidden="1" x14ac:dyDescent="0.15"/>
    <row r="12656" hidden="1" x14ac:dyDescent="0.15"/>
    <row r="12657" hidden="1" x14ac:dyDescent="0.15"/>
    <row r="12658" hidden="1" x14ac:dyDescent="0.15"/>
    <row r="12659" hidden="1" x14ac:dyDescent="0.15"/>
    <row r="12660" hidden="1" x14ac:dyDescent="0.15"/>
    <row r="12661" hidden="1" x14ac:dyDescent="0.15"/>
    <row r="12662" hidden="1" x14ac:dyDescent="0.15"/>
    <row r="12663" hidden="1" x14ac:dyDescent="0.15"/>
    <row r="12664" hidden="1" x14ac:dyDescent="0.15"/>
    <row r="12665" hidden="1" x14ac:dyDescent="0.15"/>
    <row r="12666" hidden="1" x14ac:dyDescent="0.15"/>
    <row r="12667" hidden="1" x14ac:dyDescent="0.15"/>
    <row r="12668" hidden="1" x14ac:dyDescent="0.15"/>
    <row r="12669" hidden="1" x14ac:dyDescent="0.15"/>
    <row r="12670" hidden="1" x14ac:dyDescent="0.15"/>
    <row r="12671" hidden="1" x14ac:dyDescent="0.15"/>
    <row r="12672" hidden="1" x14ac:dyDescent="0.15"/>
    <row r="12673" hidden="1" x14ac:dyDescent="0.15"/>
    <row r="12674" hidden="1" x14ac:dyDescent="0.15"/>
    <row r="12675" hidden="1" x14ac:dyDescent="0.15"/>
    <row r="12676" hidden="1" x14ac:dyDescent="0.15"/>
    <row r="12677" hidden="1" x14ac:dyDescent="0.15"/>
    <row r="12678" hidden="1" x14ac:dyDescent="0.15"/>
    <row r="12679" hidden="1" x14ac:dyDescent="0.15"/>
    <row r="12680" hidden="1" x14ac:dyDescent="0.15"/>
    <row r="12681" hidden="1" x14ac:dyDescent="0.15"/>
    <row r="12682" hidden="1" x14ac:dyDescent="0.15"/>
    <row r="12683" hidden="1" x14ac:dyDescent="0.15"/>
    <row r="12684" hidden="1" x14ac:dyDescent="0.15"/>
    <row r="12685" hidden="1" x14ac:dyDescent="0.15"/>
    <row r="12686" hidden="1" x14ac:dyDescent="0.15"/>
    <row r="12687" hidden="1" x14ac:dyDescent="0.15"/>
    <row r="12688" hidden="1" x14ac:dyDescent="0.15"/>
    <row r="12689" hidden="1" x14ac:dyDescent="0.15"/>
    <row r="12690" hidden="1" x14ac:dyDescent="0.15"/>
    <row r="12691" hidden="1" x14ac:dyDescent="0.15"/>
    <row r="12692" hidden="1" x14ac:dyDescent="0.15"/>
    <row r="12693" hidden="1" x14ac:dyDescent="0.15"/>
    <row r="12694" hidden="1" x14ac:dyDescent="0.15"/>
    <row r="12695" hidden="1" x14ac:dyDescent="0.15"/>
    <row r="12696" hidden="1" x14ac:dyDescent="0.15"/>
    <row r="12697" hidden="1" x14ac:dyDescent="0.15"/>
    <row r="12698" hidden="1" x14ac:dyDescent="0.15"/>
    <row r="12699" hidden="1" x14ac:dyDescent="0.15"/>
    <row r="12700" hidden="1" x14ac:dyDescent="0.15"/>
    <row r="12701" hidden="1" x14ac:dyDescent="0.15"/>
    <row r="12702" hidden="1" x14ac:dyDescent="0.15"/>
    <row r="12703" hidden="1" x14ac:dyDescent="0.15"/>
    <row r="12704" hidden="1" x14ac:dyDescent="0.15"/>
    <row r="12705" hidden="1" x14ac:dyDescent="0.15"/>
    <row r="12706" hidden="1" x14ac:dyDescent="0.15"/>
    <row r="12707" hidden="1" x14ac:dyDescent="0.15"/>
    <row r="12708" hidden="1" x14ac:dyDescent="0.15"/>
    <row r="12709" hidden="1" x14ac:dyDescent="0.15"/>
    <row r="12710" hidden="1" x14ac:dyDescent="0.15"/>
    <row r="12711" hidden="1" x14ac:dyDescent="0.15"/>
    <row r="12712" hidden="1" x14ac:dyDescent="0.15"/>
    <row r="12713" hidden="1" x14ac:dyDescent="0.15"/>
    <row r="12714" hidden="1" x14ac:dyDescent="0.15"/>
    <row r="12715" hidden="1" x14ac:dyDescent="0.15"/>
    <row r="12716" hidden="1" x14ac:dyDescent="0.15"/>
    <row r="12717" hidden="1" x14ac:dyDescent="0.15"/>
    <row r="12718" hidden="1" x14ac:dyDescent="0.15"/>
    <row r="12719" hidden="1" x14ac:dyDescent="0.15"/>
    <row r="12720" hidden="1" x14ac:dyDescent="0.15"/>
    <row r="12721" hidden="1" x14ac:dyDescent="0.15"/>
    <row r="12722" hidden="1" x14ac:dyDescent="0.15"/>
    <row r="12723" hidden="1" x14ac:dyDescent="0.15"/>
    <row r="12724" hidden="1" x14ac:dyDescent="0.15"/>
    <row r="12725" hidden="1" x14ac:dyDescent="0.15"/>
    <row r="12726" hidden="1" x14ac:dyDescent="0.15"/>
    <row r="12727" hidden="1" x14ac:dyDescent="0.15"/>
    <row r="12728" hidden="1" x14ac:dyDescent="0.15"/>
    <row r="12729" hidden="1" x14ac:dyDescent="0.15"/>
    <row r="12730" hidden="1" x14ac:dyDescent="0.15"/>
    <row r="12731" hidden="1" x14ac:dyDescent="0.15"/>
    <row r="12732" hidden="1" x14ac:dyDescent="0.15"/>
    <row r="12733" hidden="1" x14ac:dyDescent="0.15"/>
    <row r="12734" hidden="1" x14ac:dyDescent="0.15"/>
    <row r="12735" hidden="1" x14ac:dyDescent="0.15"/>
    <row r="12736" hidden="1" x14ac:dyDescent="0.15"/>
    <row r="12737" hidden="1" x14ac:dyDescent="0.15"/>
    <row r="12738" hidden="1" x14ac:dyDescent="0.15"/>
    <row r="12739" hidden="1" x14ac:dyDescent="0.15"/>
    <row r="12740" hidden="1" x14ac:dyDescent="0.15"/>
    <row r="12741" hidden="1" x14ac:dyDescent="0.15"/>
    <row r="12742" hidden="1" x14ac:dyDescent="0.15"/>
    <row r="12743" hidden="1" x14ac:dyDescent="0.15"/>
    <row r="12744" hidden="1" x14ac:dyDescent="0.15"/>
    <row r="12745" hidden="1" x14ac:dyDescent="0.15"/>
    <row r="12746" hidden="1" x14ac:dyDescent="0.15"/>
    <row r="12747" hidden="1" x14ac:dyDescent="0.15"/>
    <row r="12748" hidden="1" x14ac:dyDescent="0.15"/>
    <row r="12749" hidden="1" x14ac:dyDescent="0.15"/>
    <row r="12750" hidden="1" x14ac:dyDescent="0.15"/>
    <row r="12751" hidden="1" x14ac:dyDescent="0.15"/>
    <row r="12752" hidden="1" x14ac:dyDescent="0.15"/>
    <row r="12753" hidden="1" x14ac:dyDescent="0.15"/>
    <row r="12754" hidden="1" x14ac:dyDescent="0.15"/>
    <row r="12755" hidden="1" x14ac:dyDescent="0.15"/>
    <row r="12756" hidden="1" x14ac:dyDescent="0.15"/>
    <row r="12757" hidden="1" x14ac:dyDescent="0.15"/>
    <row r="12758" hidden="1" x14ac:dyDescent="0.15"/>
    <row r="12759" hidden="1" x14ac:dyDescent="0.15"/>
    <row r="12760" hidden="1" x14ac:dyDescent="0.15"/>
    <row r="12761" hidden="1" x14ac:dyDescent="0.15"/>
    <row r="12762" hidden="1" x14ac:dyDescent="0.15"/>
    <row r="12763" hidden="1" x14ac:dyDescent="0.15"/>
    <row r="12764" hidden="1" x14ac:dyDescent="0.15"/>
    <row r="12765" hidden="1" x14ac:dyDescent="0.15"/>
    <row r="12766" hidden="1" x14ac:dyDescent="0.15"/>
    <row r="12767" hidden="1" x14ac:dyDescent="0.15"/>
    <row r="12768" hidden="1" x14ac:dyDescent="0.15"/>
    <row r="12769" hidden="1" x14ac:dyDescent="0.15"/>
    <row r="12770" hidden="1" x14ac:dyDescent="0.15"/>
    <row r="12771" hidden="1" x14ac:dyDescent="0.15"/>
    <row r="12772" hidden="1" x14ac:dyDescent="0.15"/>
    <row r="12773" hidden="1" x14ac:dyDescent="0.15"/>
    <row r="12774" hidden="1" x14ac:dyDescent="0.15"/>
    <row r="12775" hidden="1" x14ac:dyDescent="0.15"/>
    <row r="12776" hidden="1" x14ac:dyDescent="0.15"/>
    <row r="12777" hidden="1" x14ac:dyDescent="0.15"/>
    <row r="12778" hidden="1" x14ac:dyDescent="0.15"/>
    <row r="12779" hidden="1" x14ac:dyDescent="0.15"/>
    <row r="12780" hidden="1" x14ac:dyDescent="0.15"/>
    <row r="12781" hidden="1" x14ac:dyDescent="0.15"/>
    <row r="12782" hidden="1" x14ac:dyDescent="0.15"/>
    <row r="12783" hidden="1" x14ac:dyDescent="0.15"/>
    <row r="12784" hidden="1" x14ac:dyDescent="0.15"/>
    <row r="12785" hidden="1" x14ac:dyDescent="0.15"/>
    <row r="12786" hidden="1" x14ac:dyDescent="0.15"/>
    <row r="12787" hidden="1" x14ac:dyDescent="0.15"/>
    <row r="12788" hidden="1" x14ac:dyDescent="0.15"/>
    <row r="12789" hidden="1" x14ac:dyDescent="0.15"/>
    <row r="12790" hidden="1" x14ac:dyDescent="0.15"/>
    <row r="12791" hidden="1" x14ac:dyDescent="0.15"/>
    <row r="12792" hidden="1" x14ac:dyDescent="0.15"/>
    <row r="12793" hidden="1" x14ac:dyDescent="0.15"/>
    <row r="12794" hidden="1" x14ac:dyDescent="0.15"/>
    <row r="12795" hidden="1" x14ac:dyDescent="0.15"/>
    <row r="12796" hidden="1" x14ac:dyDescent="0.15"/>
    <row r="12797" hidden="1" x14ac:dyDescent="0.15"/>
    <row r="12798" hidden="1" x14ac:dyDescent="0.15"/>
    <row r="12799" hidden="1" x14ac:dyDescent="0.15"/>
    <row r="12800" hidden="1" x14ac:dyDescent="0.15"/>
    <row r="12801" hidden="1" x14ac:dyDescent="0.15"/>
    <row r="12802" hidden="1" x14ac:dyDescent="0.15"/>
    <row r="12803" hidden="1" x14ac:dyDescent="0.15"/>
    <row r="12804" hidden="1" x14ac:dyDescent="0.15"/>
    <row r="12805" hidden="1" x14ac:dyDescent="0.15"/>
    <row r="12806" hidden="1" x14ac:dyDescent="0.15"/>
    <row r="12807" hidden="1" x14ac:dyDescent="0.15"/>
    <row r="12808" hidden="1" x14ac:dyDescent="0.15"/>
    <row r="12809" hidden="1" x14ac:dyDescent="0.15"/>
    <row r="12810" hidden="1" x14ac:dyDescent="0.15"/>
    <row r="12811" hidden="1" x14ac:dyDescent="0.15"/>
    <row r="12812" hidden="1" x14ac:dyDescent="0.15"/>
    <row r="12813" hidden="1" x14ac:dyDescent="0.15"/>
    <row r="12814" hidden="1" x14ac:dyDescent="0.15"/>
    <row r="12815" hidden="1" x14ac:dyDescent="0.15"/>
    <row r="12816" hidden="1" x14ac:dyDescent="0.15"/>
    <row r="12817" hidden="1" x14ac:dyDescent="0.15"/>
    <row r="12818" hidden="1" x14ac:dyDescent="0.15"/>
    <row r="12819" hidden="1" x14ac:dyDescent="0.15"/>
    <row r="12820" hidden="1" x14ac:dyDescent="0.15"/>
    <row r="12821" hidden="1" x14ac:dyDescent="0.15"/>
    <row r="12822" hidden="1" x14ac:dyDescent="0.15"/>
    <row r="12823" hidden="1" x14ac:dyDescent="0.15"/>
    <row r="12824" hidden="1" x14ac:dyDescent="0.15"/>
    <row r="12825" hidden="1" x14ac:dyDescent="0.15"/>
    <row r="12826" hidden="1" x14ac:dyDescent="0.15"/>
    <row r="12827" hidden="1" x14ac:dyDescent="0.15"/>
    <row r="12828" hidden="1" x14ac:dyDescent="0.15"/>
    <row r="12829" hidden="1" x14ac:dyDescent="0.15"/>
    <row r="12830" hidden="1" x14ac:dyDescent="0.15"/>
    <row r="12831" hidden="1" x14ac:dyDescent="0.15"/>
    <row r="12832" hidden="1" x14ac:dyDescent="0.15"/>
    <row r="12833" hidden="1" x14ac:dyDescent="0.15"/>
    <row r="12834" hidden="1" x14ac:dyDescent="0.15"/>
    <row r="12835" hidden="1" x14ac:dyDescent="0.15"/>
    <row r="12836" hidden="1" x14ac:dyDescent="0.15"/>
    <row r="12837" hidden="1" x14ac:dyDescent="0.15"/>
    <row r="12838" hidden="1" x14ac:dyDescent="0.15"/>
    <row r="12839" hidden="1" x14ac:dyDescent="0.15"/>
    <row r="12840" hidden="1" x14ac:dyDescent="0.15"/>
    <row r="12841" hidden="1" x14ac:dyDescent="0.15"/>
    <row r="12842" hidden="1" x14ac:dyDescent="0.15"/>
    <row r="12843" hidden="1" x14ac:dyDescent="0.15"/>
    <row r="12844" hidden="1" x14ac:dyDescent="0.15"/>
    <row r="12845" hidden="1" x14ac:dyDescent="0.15"/>
    <row r="12846" hidden="1" x14ac:dyDescent="0.15"/>
    <row r="12847" hidden="1" x14ac:dyDescent="0.15"/>
    <row r="12848" hidden="1" x14ac:dyDescent="0.15"/>
    <row r="12849" hidden="1" x14ac:dyDescent="0.15"/>
    <row r="12850" hidden="1" x14ac:dyDescent="0.15"/>
    <row r="12851" hidden="1" x14ac:dyDescent="0.15"/>
    <row r="12852" hidden="1" x14ac:dyDescent="0.15"/>
    <row r="12853" hidden="1" x14ac:dyDescent="0.15"/>
    <row r="12854" hidden="1" x14ac:dyDescent="0.15"/>
    <row r="12855" hidden="1" x14ac:dyDescent="0.15"/>
    <row r="12856" hidden="1" x14ac:dyDescent="0.15"/>
    <row r="12857" hidden="1" x14ac:dyDescent="0.15"/>
    <row r="12858" hidden="1" x14ac:dyDescent="0.15"/>
    <row r="12859" hidden="1" x14ac:dyDescent="0.15"/>
    <row r="12860" hidden="1" x14ac:dyDescent="0.15"/>
    <row r="12861" hidden="1" x14ac:dyDescent="0.15"/>
    <row r="12862" hidden="1" x14ac:dyDescent="0.15"/>
    <row r="12863" hidden="1" x14ac:dyDescent="0.15"/>
    <row r="12864" hidden="1" x14ac:dyDescent="0.15"/>
    <row r="12865" hidden="1" x14ac:dyDescent="0.15"/>
    <row r="12866" hidden="1" x14ac:dyDescent="0.15"/>
    <row r="12867" hidden="1" x14ac:dyDescent="0.15"/>
    <row r="12868" hidden="1" x14ac:dyDescent="0.15"/>
    <row r="12869" hidden="1" x14ac:dyDescent="0.15"/>
    <row r="12870" hidden="1" x14ac:dyDescent="0.15"/>
    <row r="12871" hidden="1" x14ac:dyDescent="0.15"/>
    <row r="12872" hidden="1" x14ac:dyDescent="0.15"/>
    <row r="12873" hidden="1" x14ac:dyDescent="0.15"/>
    <row r="12874" hidden="1" x14ac:dyDescent="0.15"/>
    <row r="12875" hidden="1" x14ac:dyDescent="0.15"/>
    <row r="12876" hidden="1" x14ac:dyDescent="0.15"/>
    <row r="12877" hidden="1" x14ac:dyDescent="0.15"/>
    <row r="12878" hidden="1" x14ac:dyDescent="0.15"/>
    <row r="12879" hidden="1" x14ac:dyDescent="0.15"/>
    <row r="12880" hidden="1" x14ac:dyDescent="0.15"/>
    <row r="12881" hidden="1" x14ac:dyDescent="0.15"/>
    <row r="12882" hidden="1" x14ac:dyDescent="0.15"/>
    <row r="12883" hidden="1" x14ac:dyDescent="0.15"/>
    <row r="12884" hidden="1" x14ac:dyDescent="0.15"/>
    <row r="12885" hidden="1" x14ac:dyDescent="0.15"/>
    <row r="12886" hidden="1" x14ac:dyDescent="0.15"/>
    <row r="12887" hidden="1" x14ac:dyDescent="0.15"/>
    <row r="12888" hidden="1" x14ac:dyDescent="0.15"/>
    <row r="12889" hidden="1" x14ac:dyDescent="0.15"/>
    <row r="12890" hidden="1" x14ac:dyDescent="0.15"/>
    <row r="12891" hidden="1" x14ac:dyDescent="0.15"/>
    <row r="12892" hidden="1" x14ac:dyDescent="0.15"/>
    <row r="12893" hidden="1" x14ac:dyDescent="0.15"/>
    <row r="12894" hidden="1" x14ac:dyDescent="0.15"/>
    <row r="12895" hidden="1" x14ac:dyDescent="0.15"/>
    <row r="12896" hidden="1" x14ac:dyDescent="0.15"/>
    <row r="12897" hidden="1" x14ac:dyDescent="0.15"/>
    <row r="12898" hidden="1" x14ac:dyDescent="0.15"/>
    <row r="12899" hidden="1" x14ac:dyDescent="0.15"/>
    <row r="12900" hidden="1" x14ac:dyDescent="0.15"/>
    <row r="12901" hidden="1" x14ac:dyDescent="0.15"/>
    <row r="12902" hidden="1" x14ac:dyDescent="0.15"/>
    <row r="12903" hidden="1" x14ac:dyDescent="0.15"/>
    <row r="12904" hidden="1" x14ac:dyDescent="0.15"/>
    <row r="12905" hidden="1" x14ac:dyDescent="0.15"/>
    <row r="12906" hidden="1" x14ac:dyDescent="0.15"/>
    <row r="12907" hidden="1" x14ac:dyDescent="0.15"/>
    <row r="12908" hidden="1" x14ac:dyDescent="0.15"/>
    <row r="12909" hidden="1" x14ac:dyDescent="0.15"/>
    <row r="12910" hidden="1" x14ac:dyDescent="0.15"/>
    <row r="12911" hidden="1" x14ac:dyDescent="0.15"/>
    <row r="12912" hidden="1" x14ac:dyDescent="0.15"/>
    <row r="12913" hidden="1" x14ac:dyDescent="0.15"/>
    <row r="12914" hidden="1" x14ac:dyDescent="0.15"/>
    <row r="12915" hidden="1" x14ac:dyDescent="0.15"/>
    <row r="12916" hidden="1" x14ac:dyDescent="0.15"/>
    <row r="12917" hidden="1" x14ac:dyDescent="0.15"/>
    <row r="12918" hidden="1" x14ac:dyDescent="0.15"/>
    <row r="12919" hidden="1" x14ac:dyDescent="0.15"/>
    <row r="12920" hidden="1" x14ac:dyDescent="0.15"/>
    <row r="12921" hidden="1" x14ac:dyDescent="0.15"/>
    <row r="12922" hidden="1" x14ac:dyDescent="0.15"/>
    <row r="12923" hidden="1" x14ac:dyDescent="0.15"/>
    <row r="12924" hidden="1" x14ac:dyDescent="0.15"/>
    <row r="12925" hidden="1" x14ac:dyDescent="0.15"/>
    <row r="12926" hidden="1" x14ac:dyDescent="0.15"/>
    <row r="12927" hidden="1" x14ac:dyDescent="0.15"/>
    <row r="12928" hidden="1" x14ac:dyDescent="0.15"/>
    <row r="12929" hidden="1" x14ac:dyDescent="0.15"/>
    <row r="12930" hidden="1" x14ac:dyDescent="0.15"/>
    <row r="12931" hidden="1" x14ac:dyDescent="0.15"/>
    <row r="12932" hidden="1" x14ac:dyDescent="0.15"/>
    <row r="12933" hidden="1" x14ac:dyDescent="0.15"/>
    <row r="12934" hidden="1" x14ac:dyDescent="0.15"/>
    <row r="12935" hidden="1" x14ac:dyDescent="0.15"/>
    <row r="12936" hidden="1" x14ac:dyDescent="0.15"/>
    <row r="12937" hidden="1" x14ac:dyDescent="0.15"/>
    <row r="12938" hidden="1" x14ac:dyDescent="0.15"/>
    <row r="12939" hidden="1" x14ac:dyDescent="0.15"/>
    <row r="12940" hidden="1" x14ac:dyDescent="0.15"/>
    <row r="12941" hidden="1" x14ac:dyDescent="0.15"/>
    <row r="12942" hidden="1" x14ac:dyDescent="0.15"/>
    <row r="12943" hidden="1" x14ac:dyDescent="0.15"/>
    <row r="12944" hidden="1" x14ac:dyDescent="0.15"/>
    <row r="12945" hidden="1" x14ac:dyDescent="0.15"/>
    <row r="12946" hidden="1" x14ac:dyDescent="0.15"/>
    <row r="12947" hidden="1" x14ac:dyDescent="0.15"/>
    <row r="12948" hidden="1" x14ac:dyDescent="0.15"/>
    <row r="12949" hidden="1" x14ac:dyDescent="0.15"/>
    <row r="12950" hidden="1" x14ac:dyDescent="0.15"/>
    <row r="12951" hidden="1" x14ac:dyDescent="0.15"/>
    <row r="12952" hidden="1" x14ac:dyDescent="0.15"/>
    <row r="12953" hidden="1" x14ac:dyDescent="0.15"/>
    <row r="12954" hidden="1" x14ac:dyDescent="0.15"/>
    <row r="12955" hidden="1" x14ac:dyDescent="0.15"/>
    <row r="12956" hidden="1" x14ac:dyDescent="0.15"/>
    <row r="12957" hidden="1" x14ac:dyDescent="0.15"/>
    <row r="12958" hidden="1" x14ac:dyDescent="0.15"/>
    <row r="12959" hidden="1" x14ac:dyDescent="0.15"/>
    <row r="12960" hidden="1" x14ac:dyDescent="0.15"/>
    <row r="12961" hidden="1" x14ac:dyDescent="0.15"/>
    <row r="12962" hidden="1" x14ac:dyDescent="0.15"/>
    <row r="12963" hidden="1" x14ac:dyDescent="0.15"/>
    <row r="12964" hidden="1" x14ac:dyDescent="0.15"/>
    <row r="12965" hidden="1" x14ac:dyDescent="0.15"/>
    <row r="12966" hidden="1" x14ac:dyDescent="0.15"/>
    <row r="12967" hidden="1" x14ac:dyDescent="0.15"/>
    <row r="12968" hidden="1" x14ac:dyDescent="0.15"/>
    <row r="12969" hidden="1" x14ac:dyDescent="0.15"/>
    <row r="12970" hidden="1" x14ac:dyDescent="0.15"/>
    <row r="12971" hidden="1" x14ac:dyDescent="0.15"/>
    <row r="12972" hidden="1" x14ac:dyDescent="0.15"/>
    <row r="12973" hidden="1" x14ac:dyDescent="0.15"/>
    <row r="12974" hidden="1" x14ac:dyDescent="0.15"/>
    <row r="12975" hidden="1" x14ac:dyDescent="0.15"/>
    <row r="12976" hidden="1" x14ac:dyDescent="0.15"/>
    <row r="12977" hidden="1" x14ac:dyDescent="0.15"/>
    <row r="12978" hidden="1" x14ac:dyDescent="0.15"/>
    <row r="12979" hidden="1" x14ac:dyDescent="0.15"/>
    <row r="12980" hidden="1" x14ac:dyDescent="0.15"/>
    <row r="12981" hidden="1" x14ac:dyDescent="0.15"/>
    <row r="12982" hidden="1" x14ac:dyDescent="0.15"/>
    <row r="12983" hidden="1" x14ac:dyDescent="0.15"/>
    <row r="12984" hidden="1" x14ac:dyDescent="0.15"/>
    <row r="12985" hidden="1" x14ac:dyDescent="0.15"/>
    <row r="12986" hidden="1" x14ac:dyDescent="0.15"/>
    <row r="12987" hidden="1" x14ac:dyDescent="0.15"/>
    <row r="12988" hidden="1" x14ac:dyDescent="0.15"/>
    <row r="12989" hidden="1" x14ac:dyDescent="0.15"/>
    <row r="12990" hidden="1" x14ac:dyDescent="0.15"/>
    <row r="12991" hidden="1" x14ac:dyDescent="0.15"/>
    <row r="12992" hidden="1" x14ac:dyDescent="0.15"/>
    <row r="12993" hidden="1" x14ac:dyDescent="0.15"/>
    <row r="12994" hidden="1" x14ac:dyDescent="0.15"/>
    <row r="12995" hidden="1" x14ac:dyDescent="0.15"/>
    <row r="12996" hidden="1" x14ac:dyDescent="0.15"/>
    <row r="12997" hidden="1" x14ac:dyDescent="0.15"/>
    <row r="12998" hidden="1" x14ac:dyDescent="0.15"/>
    <row r="12999" hidden="1" x14ac:dyDescent="0.15"/>
    <row r="13000" hidden="1" x14ac:dyDescent="0.15"/>
    <row r="13001" hidden="1" x14ac:dyDescent="0.15"/>
    <row r="13002" hidden="1" x14ac:dyDescent="0.15"/>
    <row r="13003" hidden="1" x14ac:dyDescent="0.15"/>
    <row r="13004" hidden="1" x14ac:dyDescent="0.15"/>
    <row r="13005" hidden="1" x14ac:dyDescent="0.15"/>
    <row r="13006" hidden="1" x14ac:dyDescent="0.15"/>
    <row r="13007" hidden="1" x14ac:dyDescent="0.15"/>
    <row r="13008" hidden="1" x14ac:dyDescent="0.15"/>
    <row r="13009" hidden="1" x14ac:dyDescent="0.15"/>
    <row r="13010" hidden="1" x14ac:dyDescent="0.15"/>
    <row r="13011" hidden="1" x14ac:dyDescent="0.15"/>
    <row r="13012" hidden="1" x14ac:dyDescent="0.15"/>
    <row r="13013" hidden="1" x14ac:dyDescent="0.15"/>
    <row r="13014" hidden="1" x14ac:dyDescent="0.15"/>
    <row r="13015" hidden="1" x14ac:dyDescent="0.15"/>
    <row r="13016" hidden="1" x14ac:dyDescent="0.15"/>
    <row r="13017" hidden="1" x14ac:dyDescent="0.15"/>
    <row r="13018" hidden="1" x14ac:dyDescent="0.15"/>
    <row r="13019" hidden="1" x14ac:dyDescent="0.15"/>
    <row r="13020" hidden="1" x14ac:dyDescent="0.15"/>
    <row r="13021" hidden="1" x14ac:dyDescent="0.15"/>
    <row r="13022" hidden="1" x14ac:dyDescent="0.15"/>
    <row r="13023" hidden="1" x14ac:dyDescent="0.15"/>
    <row r="13024" hidden="1" x14ac:dyDescent="0.15"/>
    <row r="13025" hidden="1" x14ac:dyDescent="0.15"/>
    <row r="13026" hidden="1" x14ac:dyDescent="0.15"/>
    <row r="13027" hidden="1" x14ac:dyDescent="0.15"/>
    <row r="13028" hidden="1" x14ac:dyDescent="0.15"/>
    <row r="13029" hidden="1" x14ac:dyDescent="0.15"/>
    <row r="13030" hidden="1" x14ac:dyDescent="0.15"/>
    <row r="13031" hidden="1" x14ac:dyDescent="0.15"/>
    <row r="13032" hidden="1" x14ac:dyDescent="0.15"/>
    <row r="13033" hidden="1" x14ac:dyDescent="0.15"/>
    <row r="13034" hidden="1" x14ac:dyDescent="0.15"/>
    <row r="13035" hidden="1" x14ac:dyDescent="0.15"/>
    <row r="13036" hidden="1" x14ac:dyDescent="0.15"/>
    <row r="13037" hidden="1" x14ac:dyDescent="0.15"/>
    <row r="13038" hidden="1" x14ac:dyDescent="0.15"/>
    <row r="13039" hidden="1" x14ac:dyDescent="0.15"/>
    <row r="13040" hidden="1" x14ac:dyDescent="0.15"/>
    <row r="13041" hidden="1" x14ac:dyDescent="0.15"/>
    <row r="13042" hidden="1" x14ac:dyDescent="0.15"/>
    <row r="13043" hidden="1" x14ac:dyDescent="0.15"/>
    <row r="13044" hidden="1" x14ac:dyDescent="0.15"/>
    <row r="13045" hidden="1" x14ac:dyDescent="0.15"/>
    <row r="13046" hidden="1" x14ac:dyDescent="0.15"/>
    <row r="13047" hidden="1" x14ac:dyDescent="0.15"/>
    <row r="13048" hidden="1" x14ac:dyDescent="0.15"/>
    <row r="13049" hidden="1" x14ac:dyDescent="0.15"/>
    <row r="13050" hidden="1" x14ac:dyDescent="0.15"/>
    <row r="13051" hidden="1" x14ac:dyDescent="0.15"/>
    <row r="13052" hidden="1" x14ac:dyDescent="0.15"/>
    <row r="13053" hidden="1" x14ac:dyDescent="0.15"/>
    <row r="13054" hidden="1" x14ac:dyDescent="0.15"/>
    <row r="13055" hidden="1" x14ac:dyDescent="0.15"/>
    <row r="13056" hidden="1" x14ac:dyDescent="0.15"/>
    <row r="13057" hidden="1" x14ac:dyDescent="0.15"/>
    <row r="13058" hidden="1" x14ac:dyDescent="0.15"/>
    <row r="13059" hidden="1" x14ac:dyDescent="0.15"/>
    <row r="13060" hidden="1" x14ac:dyDescent="0.15"/>
    <row r="13061" hidden="1" x14ac:dyDescent="0.15"/>
    <row r="13062" hidden="1" x14ac:dyDescent="0.15"/>
    <row r="13063" hidden="1" x14ac:dyDescent="0.15"/>
    <row r="13064" hidden="1" x14ac:dyDescent="0.15"/>
    <row r="13065" hidden="1" x14ac:dyDescent="0.15"/>
    <row r="13066" hidden="1" x14ac:dyDescent="0.15"/>
    <row r="13067" hidden="1" x14ac:dyDescent="0.15"/>
    <row r="13068" hidden="1" x14ac:dyDescent="0.15"/>
    <row r="13069" hidden="1" x14ac:dyDescent="0.15"/>
    <row r="13070" hidden="1" x14ac:dyDescent="0.15"/>
    <row r="13071" hidden="1" x14ac:dyDescent="0.15"/>
    <row r="13072" hidden="1" x14ac:dyDescent="0.15"/>
    <row r="13073" hidden="1" x14ac:dyDescent="0.15"/>
    <row r="13074" hidden="1" x14ac:dyDescent="0.15"/>
    <row r="13075" hidden="1" x14ac:dyDescent="0.15"/>
    <row r="13076" hidden="1" x14ac:dyDescent="0.15"/>
    <row r="13077" hidden="1" x14ac:dyDescent="0.15"/>
    <row r="13078" hidden="1" x14ac:dyDescent="0.15"/>
    <row r="13079" hidden="1" x14ac:dyDescent="0.15"/>
    <row r="13080" hidden="1" x14ac:dyDescent="0.15"/>
    <row r="13081" hidden="1" x14ac:dyDescent="0.15"/>
    <row r="13082" hidden="1" x14ac:dyDescent="0.15"/>
    <row r="13083" hidden="1" x14ac:dyDescent="0.15"/>
    <row r="13084" hidden="1" x14ac:dyDescent="0.15"/>
    <row r="13085" hidden="1" x14ac:dyDescent="0.15"/>
    <row r="13086" hidden="1" x14ac:dyDescent="0.15"/>
    <row r="13087" hidden="1" x14ac:dyDescent="0.15"/>
    <row r="13088" hidden="1" x14ac:dyDescent="0.15"/>
    <row r="13089" hidden="1" x14ac:dyDescent="0.15"/>
    <row r="13090" hidden="1" x14ac:dyDescent="0.15"/>
    <row r="13091" hidden="1" x14ac:dyDescent="0.15"/>
    <row r="13092" hidden="1" x14ac:dyDescent="0.15"/>
    <row r="13093" hidden="1" x14ac:dyDescent="0.15"/>
    <row r="13094" hidden="1" x14ac:dyDescent="0.15"/>
    <row r="13095" hidden="1" x14ac:dyDescent="0.15"/>
    <row r="13096" hidden="1" x14ac:dyDescent="0.15"/>
    <row r="13097" hidden="1" x14ac:dyDescent="0.15"/>
    <row r="13098" hidden="1" x14ac:dyDescent="0.15"/>
    <row r="13099" hidden="1" x14ac:dyDescent="0.15"/>
    <row r="13100" hidden="1" x14ac:dyDescent="0.15"/>
    <row r="13101" hidden="1" x14ac:dyDescent="0.15"/>
    <row r="13102" hidden="1" x14ac:dyDescent="0.15"/>
    <row r="13103" hidden="1" x14ac:dyDescent="0.15"/>
    <row r="13104" hidden="1" x14ac:dyDescent="0.15"/>
    <row r="13105" hidden="1" x14ac:dyDescent="0.15"/>
    <row r="13106" hidden="1" x14ac:dyDescent="0.15"/>
    <row r="13107" hidden="1" x14ac:dyDescent="0.15"/>
    <row r="13108" hidden="1" x14ac:dyDescent="0.15"/>
    <row r="13109" hidden="1" x14ac:dyDescent="0.15"/>
    <row r="13110" hidden="1" x14ac:dyDescent="0.15"/>
    <row r="13111" hidden="1" x14ac:dyDescent="0.15"/>
    <row r="13112" hidden="1" x14ac:dyDescent="0.15"/>
    <row r="13113" hidden="1" x14ac:dyDescent="0.15"/>
    <row r="13114" hidden="1" x14ac:dyDescent="0.15"/>
    <row r="13115" hidden="1" x14ac:dyDescent="0.15"/>
    <row r="13116" hidden="1" x14ac:dyDescent="0.15"/>
    <row r="13117" hidden="1" x14ac:dyDescent="0.15"/>
    <row r="13118" hidden="1" x14ac:dyDescent="0.15"/>
    <row r="13119" hidden="1" x14ac:dyDescent="0.15"/>
    <row r="13120" hidden="1" x14ac:dyDescent="0.15"/>
    <row r="13121" hidden="1" x14ac:dyDescent="0.15"/>
    <row r="13122" hidden="1" x14ac:dyDescent="0.15"/>
    <row r="13123" hidden="1" x14ac:dyDescent="0.15"/>
    <row r="13124" hidden="1" x14ac:dyDescent="0.15"/>
    <row r="13125" hidden="1" x14ac:dyDescent="0.15"/>
    <row r="13126" hidden="1" x14ac:dyDescent="0.15"/>
    <row r="13127" hidden="1" x14ac:dyDescent="0.15"/>
    <row r="13128" hidden="1" x14ac:dyDescent="0.15"/>
    <row r="13129" hidden="1" x14ac:dyDescent="0.15"/>
    <row r="13130" hidden="1" x14ac:dyDescent="0.15"/>
    <row r="13131" hidden="1" x14ac:dyDescent="0.15"/>
    <row r="13132" hidden="1" x14ac:dyDescent="0.15"/>
    <row r="13133" hidden="1" x14ac:dyDescent="0.15"/>
    <row r="13134" hidden="1" x14ac:dyDescent="0.15"/>
    <row r="13135" hidden="1" x14ac:dyDescent="0.15"/>
    <row r="13136" hidden="1" x14ac:dyDescent="0.15"/>
    <row r="13137" hidden="1" x14ac:dyDescent="0.15"/>
    <row r="13138" hidden="1" x14ac:dyDescent="0.15"/>
    <row r="13139" hidden="1" x14ac:dyDescent="0.15"/>
    <row r="13140" hidden="1" x14ac:dyDescent="0.15"/>
    <row r="13141" hidden="1" x14ac:dyDescent="0.15"/>
    <row r="13142" hidden="1" x14ac:dyDescent="0.15"/>
    <row r="13143" hidden="1" x14ac:dyDescent="0.15"/>
    <row r="13144" hidden="1" x14ac:dyDescent="0.15"/>
    <row r="13145" hidden="1" x14ac:dyDescent="0.15"/>
    <row r="13146" hidden="1" x14ac:dyDescent="0.15"/>
    <row r="13147" hidden="1" x14ac:dyDescent="0.15"/>
    <row r="13148" hidden="1" x14ac:dyDescent="0.15"/>
    <row r="13149" hidden="1" x14ac:dyDescent="0.15"/>
    <row r="13150" hidden="1" x14ac:dyDescent="0.15"/>
    <row r="13151" hidden="1" x14ac:dyDescent="0.15"/>
    <row r="13152" hidden="1" x14ac:dyDescent="0.15"/>
    <row r="13153" hidden="1" x14ac:dyDescent="0.15"/>
    <row r="13154" hidden="1" x14ac:dyDescent="0.15"/>
    <row r="13155" hidden="1" x14ac:dyDescent="0.15"/>
    <row r="13156" hidden="1" x14ac:dyDescent="0.15"/>
    <row r="13157" hidden="1" x14ac:dyDescent="0.15"/>
    <row r="13158" hidden="1" x14ac:dyDescent="0.15"/>
    <row r="13159" hidden="1" x14ac:dyDescent="0.15"/>
    <row r="13160" hidden="1" x14ac:dyDescent="0.15"/>
    <row r="13161" hidden="1" x14ac:dyDescent="0.15"/>
    <row r="13162" hidden="1" x14ac:dyDescent="0.15"/>
    <row r="13163" hidden="1" x14ac:dyDescent="0.15"/>
    <row r="13164" hidden="1" x14ac:dyDescent="0.15"/>
    <row r="13165" hidden="1" x14ac:dyDescent="0.15"/>
    <row r="13166" hidden="1" x14ac:dyDescent="0.15"/>
    <row r="13167" hidden="1" x14ac:dyDescent="0.15"/>
    <row r="13168" hidden="1" x14ac:dyDescent="0.15"/>
    <row r="13169" hidden="1" x14ac:dyDescent="0.15"/>
    <row r="13170" hidden="1" x14ac:dyDescent="0.15"/>
    <row r="13171" hidden="1" x14ac:dyDescent="0.15"/>
    <row r="13172" hidden="1" x14ac:dyDescent="0.15"/>
    <row r="13173" hidden="1" x14ac:dyDescent="0.15"/>
    <row r="13174" hidden="1" x14ac:dyDescent="0.15"/>
    <row r="13175" hidden="1" x14ac:dyDescent="0.15"/>
    <row r="13176" hidden="1" x14ac:dyDescent="0.15"/>
    <row r="13177" hidden="1" x14ac:dyDescent="0.15"/>
    <row r="13178" hidden="1" x14ac:dyDescent="0.15"/>
    <row r="13179" hidden="1" x14ac:dyDescent="0.15"/>
    <row r="13180" hidden="1" x14ac:dyDescent="0.15"/>
    <row r="13181" hidden="1" x14ac:dyDescent="0.15"/>
    <row r="13182" hidden="1" x14ac:dyDescent="0.15"/>
    <row r="13183" hidden="1" x14ac:dyDescent="0.15"/>
    <row r="13184" hidden="1" x14ac:dyDescent="0.15"/>
    <row r="13185" hidden="1" x14ac:dyDescent="0.15"/>
    <row r="13186" hidden="1" x14ac:dyDescent="0.15"/>
    <row r="13187" hidden="1" x14ac:dyDescent="0.15"/>
    <row r="13188" hidden="1" x14ac:dyDescent="0.15"/>
    <row r="13189" hidden="1" x14ac:dyDescent="0.15"/>
    <row r="13190" hidden="1" x14ac:dyDescent="0.15"/>
    <row r="13191" hidden="1" x14ac:dyDescent="0.15"/>
    <row r="13192" hidden="1" x14ac:dyDescent="0.15"/>
    <row r="13193" hidden="1" x14ac:dyDescent="0.15"/>
    <row r="13194" hidden="1" x14ac:dyDescent="0.15"/>
    <row r="13195" hidden="1" x14ac:dyDescent="0.15"/>
    <row r="13196" hidden="1" x14ac:dyDescent="0.15"/>
    <row r="13197" hidden="1" x14ac:dyDescent="0.15"/>
    <row r="13198" hidden="1" x14ac:dyDescent="0.15"/>
    <row r="13199" hidden="1" x14ac:dyDescent="0.15"/>
    <row r="13200" hidden="1" x14ac:dyDescent="0.15"/>
    <row r="13201" hidden="1" x14ac:dyDescent="0.15"/>
    <row r="13202" hidden="1" x14ac:dyDescent="0.15"/>
    <row r="13203" hidden="1" x14ac:dyDescent="0.15"/>
    <row r="13204" hidden="1" x14ac:dyDescent="0.15"/>
    <row r="13205" hidden="1" x14ac:dyDescent="0.15"/>
    <row r="13206" hidden="1" x14ac:dyDescent="0.15"/>
    <row r="13207" hidden="1" x14ac:dyDescent="0.15"/>
    <row r="13208" hidden="1" x14ac:dyDescent="0.15"/>
    <row r="13209" hidden="1" x14ac:dyDescent="0.15"/>
    <row r="13210" hidden="1" x14ac:dyDescent="0.15"/>
    <row r="13211" hidden="1" x14ac:dyDescent="0.15"/>
    <row r="13212" hidden="1" x14ac:dyDescent="0.15"/>
    <row r="13213" hidden="1" x14ac:dyDescent="0.15"/>
    <row r="13214" hidden="1" x14ac:dyDescent="0.15"/>
    <row r="13215" hidden="1" x14ac:dyDescent="0.15"/>
    <row r="13216" hidden="1" x14ac:dyDescent="0.15"/>
    <row r="13217" hidden="1" x14ac:dyDescent="0.15"/>
    <row r="13218" hidden="1" x14ac:dyDescent="0.15"/>
    <row r="13219" hidden="1" x14ac:dyDescent="0.15"/>
    <row r="13220" hidden="1" x14ac:dyDescent="0.15"/>
    <row r="13221" hidden="1" x14ac:dyDescent="0.15"/>
    <row r="13222" hidden="1" x14ac:dyDescent="0.15"/>
    <row r="13223" hidden="1" x14ac:dyDescent="0.15"/>
    <row r="13224" hidden="1" x14ac:dyDescent="0.15"/>
    <row r="13225" hidden="1" x14ac:dyDescent="0.15"/>
    <row r="13226" hidden="1" x14ac:dyDescent="0.15"/>
    <row r="13227" hidden="1" x14ac:dyDescent="0.15"/>
    <row r="13228" hidden="1" x14ac:dyDescent="0.15"/>
    <row r="13229" hidden="1" x14ac:dyDescent="0.15"/>
    <row r="13230" hidden="1" x14ac:dyDescent="0.15"/>
    <row r="13231" hidden="1" x14ac:dyDescent="0.15"/>
    <row r="13232" hidden="1" x14ac:dyDescent="0.15"/>
    <row r="13233" hidden="1" x14ac:dyDescent="0.15"/>
    <row r="13234" hidden="1" x14ac:dyDescent="0.15"/>
    <row r="13235" hidden="1" x14ac:dyDescent="0.15"/>
    <row r="13236" hidden="1" x14ac:dyDescent="0.15"/>
    <row r="13237" hidden="1" x14ac:dyDescent="0.15"/>
    <row r="13238" hidden="1" x14ac:dyDescent="0.15"/>
    <row r="13239" hidden="1" x14ac:dyDescent="0.15"/>
    <row r="13240" hidden="1" x14ac:dyDescent="0.15"/>
    <row r="13241" hidden="1" x14ac:dyDescent="0.15"/>
    <row r="13242" hidden="1" x14ac:dyDescent="0.15"/>
    <row r="13243" hidden="1" x14ac:dyDescent="0.15"/>
    <row r="13244" hidden="1" x14ac:dyDescent="0.15"/>
    <row r="13245" hidden="1" x14ac:dyDescent="0.15"/>
    <row r="13246" hidden="1" x14ac:dyDescent="0.15"/>
    <row r="13247" hidden="1" x14ac:dyDescent="0.15"/>
    <row r="13248" hidden="1" x14ac:dyDescent="0.15"/>
    <row r="13249" hidden="1" x14ac:dyDescent="0.15"/>
    <row r="13250" hidden="1" x14ac:dyDescent="0.15"/>
    <row r="13251" hidden="1" x14ac:dyDescent="0.15"/>
    <row r="13252" hidden="1" x14ac:dyDescent="0.15"/>
    <row r="13253" hidden="1" x14ac:dyDescent="0.15"/>
    <row r="13254" hidden="1" x14ac:dyDescent="0.15"/>
    <row r="13255" hidden="1" x14ac:dyDescent="0.15"/>
    <row r="13256" hidden="1" x14ac:dyDescent="0.15"/>
    <row r="13257" hidden="1" x14ac:dyDescent="0.15"/>
    <row r="13258" hidden="1" x14ac:dyDescent="0.15"/>
    <row r="13259" hidden="1" x14ac:dyDescent="0.15"/>
    <row r="13260" hidden="1" x14ac:dyDescent="0.15"/>
    <row r="13261" hidden="1" x14ac:dyDescent="0.15"/>
    <row r="13262" hidden="1" x14ac:dyDescent="0.15"/>
    <row r="13263" hidden="1" x14ac:dyDescent="0.15"/>
    <row r="13264" hidden="1" x14ac:dyDescent="0.15"/>
    <row r="13265" hidden="1" x14ac:dyDescent="0.15"/>
    <row r="13266" hidden="1" x14ac:dyDescent="0.15"/>
    <row r="13267" hidden="1" x14ac:dyDescent="0.15"/>
    <row r="13268" hidden="1" x14ac:dyDescent="0.15"/>
    <row r="13269" hidden="1" x14ac:dyDescent="0.15"/>
    <row r="13270" hidden="1" x14ac:dyDescent="0.15"/>
    <row r="13271" hidden="1" x14ac:dyDescent="0.15"/>
    <row r="13272" hidden="1" x14ac:dyDescent="0.15"/>
    <row r="13273" hidden="1" x14ac:dyDescent="0.15"/>
    <row r="13274" hidden="1" x14ac:dyDescent="0.15"/>
    <row r="13275" hidden="1" x14ac:dyDescent="0.15"/>
    <row r="13276" hidden="1" x14ac:dyDescent="0.15"/>
    <row r="13277" hidden="1" x14ac:dyDescent="0.15"/>
    <row r="13278" hidden="1" x14ac:dyDescent="0.15"/>
    <row r="13279" hidden="1" x14ac:dyDescent="0.15"/>
    <row r="13280" hidden="1" x14ac:dyDescent="0.15"/>
    <row r="13281" hidden="1" x14ac:dyDescent="0.15"/>
    <row r="13282" hidden="1" x14ac:dyDescent="0.15"/>
    <row r="13283" hidden="1" x14ac:dyDescent="0.15"/>
    <row r="13284" hidden="1" x14ac:dyDescent="0.15"/>
    <row r="13285" hidden="1" x14ac:dyDescent="0.15"/>
    <row r="13286" hidden="1" x14ac:dyDescent="0.15"/>
    <row r="13287" hidden="1" x14ac:dyDescent="0.15"/>
    <row r="13288" hidden="1" x14ac:dyDescent="0.15"/>
    <row r="13289" hidden="1" x14ac:dyDescent="0.15"/>
    <row r="13290" hidden="1" x14ac:dyDescent="0.15"/>
    <row r="13291" hidden="1" x14ac:dyDescent="0.15"/>
    <row r="13292" hidden="1" x14ac:dyDescent="0.15"/>
    <row r="13293" hidden="1" x14ac:dyDescent="0.15"/>
    <row r="13294" hidden="1" x14ac:dyDescent="0.15"/>
    <row r="13295" hidden="1" x14ac:dyDescent="0.15"/>
    <row r="13296" hidden="1" x14ac:dyDescent="0.15"/>
    <row r="13297" hidden="1" x14ac:dyDescent="0.15"/>
    <row r="13298" hidden="1" x14ac:dyDescent="0.15"/>
    <row r="13299" hidden="1" x14ac:dyDescent="0.15"/>
    <row r="13300" hidden="1" x14ac:dyDescent="0.15"/>
    <row r="13301" hidden="1" x14ac:dyDescent="0.15"/>
    <row r="13302" hidden="1" x14ac:dyDescent="0.15"/>
    <row r="13303" hidden="1" x14ac:dyDescent="0.15"/>
    <row r="13304" hidden="1" x14ac:dyDescent="0.15"/>
    <row r="13305" hidden="1" x14ac:dyDescent="0.15"/>
    <row r="13306" hidden="1" x14ac:dyDescent="0.15"/>
    <row r="13307" hidden="1" x14ac:dyDescent="0.15"/>
    <row r="13308" hidden="1" x14ac:dyDescent="0.15"/>
    <row r="13309" hidden="1" x14ac:dyDescent="0.15"/>
    <row r="13310" hidden="1" x14ac:dyDescent="0.15"/>
    <row r="13311" hidden="1" x14ac:dyDescent="0.15"/>
    <row r="13312" hidden="1" x14ac:dyDescent="0.15"/>
    <row r="13313" hidden="1" x14ac:dyDescent="0.15"/>
    <row r="13314" hidden="1" x14ac:dyDescent="0.15"/>
    <row r="13315" hidden="1" x14ac:dyDescent="0.15"/>
    <row r="13316" hidden="1" x14ac:dyDescent="0.15"/>
    <row r="13317" hidden="1" x14ac:dyDescent="0.15"/>
    <row r="13318" hidden="1" x14ac:dyDescent="0.15"/>
    <row r="13319" hidden="1" x14ac:dyDescent="0.15"/>
    <row r="13320" hidden="1" x14ac:dyDescent="0.15"/>
    <row r="13321" hidden="1" x14ac:dyDescent="0.15"/>
    <row r="13322" hidden="1" x14ac:dyDescent="0.15"/>
    <row r="13323" hidden="1" x14ac:dyDescent="0.15"/>
    <row r="13324" hidden="1" x14ac:dyDescent="0.15"/>
    <row r="13325" hidden="1" x14ac:dyDescent="0.15"/>
    <row r="13326" hidden="1" x14ac:dyDescent="0.15"/>
    <row r="13327" hidden="1" x14ac:dyDescent="0.15"/>
    <row r="13328" hidden="1" x14ac:dyDescent="0.15"/>
    <row r="13329" hidden="1" x14ac:dyDescent="0.15"/>
    <row r="13330" hidden="1" x14ac:dyDescent="0.15"/>
    <row r="13331" hidden="1" x14ac:dyDescent="0.15"/>
    <row r="13332" hidden="1" x14ac:dyDescent="0.15"/>
    <row r="13333" hidden="1" x14ac:dyDescent="0.15"/>
    <row r="13334" hidden="1" x14ac:dyDescent="0.15"/>
    <row r="13335" hidden="1" x14ac:dyDescent="0.15"/>
    <row r="13336" hidden="1" x14ac:dyDescent="0.15"/>
    <row r="13337" hidden="1" x14ac:dyDescent="0.15"/>
    <row r="13338" hidden="1" x14ac:dyDescent="0.15"/>
    <row r="13339" hidden="1" x14ac:dyDescent="0.15"/>
    <row r="13340" hidden="1" x14ac:dyDescent="0.15"/>
    <row r="13341" hidden="1" x14ac:dyDescent="0.15"/>
    <row r="13342" hidden="1" x14ac:dyDescent="0.15"/>
    <row r="13343" hidden="1" x14ac:dyDescent="0.15"/>
    <row r="13344" hidden="1" x14ac:dyDescent="0.15"/>
    <row r="13345" hidden="1" x14ac:dyDescent="0.15"/>
    <row r="13346" hidden="1" x14ac:dyDescent="0.15"/>
    <row r="13347" hidden="1" x14ac:dyDescent="0.15"/>
    <row r="13348" hidden="1" x14ac:dyDescent="0.15"/>
    <row r="13349" hidden="1" x14ac:dyDescent="0.15"/>
    <row r="13350" hidden="1" x14ac:dyDescent="0.15"/>
    <row r="13351" hidden="1" x14ac:dyDescent="0.15"/>
    <row r="13352" hidden="1" x14ac:dyDescent="0.15"/>
    <row r="13353" hidden="1" x14ac:dyDescent="0.15"/>
    <row r="13354" hidden="1" x14ac:dyDescent="0.15"/>
    <row r="13355" hidden="1" x14ac:dyDescent="0.15"/>
    <row r="13356" hidden="1" x14ac:dyDescent="0.15"/>
    <row r="13357" hidden="1" x14ac:dyDescent="0.15"/>
    <row r="13358" hidden="1" x14ac:dyDescent="0.15"/>
    <row r="13359" hidden="1" x14ac:dyDescent="0.15"/>
    <row r="13360" hidden="1" x14ac:dyDescent="0.15"/>
    <row r="13361" hidden="1" x14ac:dyDescent="0.15"/>
    <row r="13362" hidden="1" x14ac:dyDescent="0.15"/>
    <row r="13363" hidden="1" x14ac:dyDescent="0.15"/>
    <row r="13364" hidden="1" x14ac:dyDescent="0.15"/>
    <row r="13365" hidden="1" x14ac:dyDescent="0.15"/>
    <row r="13366" hidden="1" x14ac:dyDescent="0.15"/>
    <row r="13367" hidden="1" x14ac:dyDescent="0.15"/>
    <row r="13368" hidden="1" x14ac:dyDescent="0.15"/>
    <row r="13369" hidden="1" x14ac:dyDescent="0.15"/>
    <row r="13370" hidden="1" x14ac:dyDescent="0.15"/>
    <row r="13371" hidden="1" x14ac:dyDescent="0.15"/>
    <row r="13372" hidden="1" x14ac:dyDescent="0.15"/>
    <row r="13373" hidden="1" x14ac:dyDescent="0.15"/>
    <row r="13374" hidden="1" x14ac:dyDescent="0.15"/>
    <row r="13375" hidden="1" x14ac:dyDescent="0.15"/>
    <row r="13376" hidden="1" x14ac:dyDescent="0.15"/>
    <row r="13377" hidden="1" x14ac:dyDescent="0.15"/>
    <row r="13378" hidden="1" x14ac:dyDescent="0.15"/>
    <row r="13379" hidden="1" x14ac:dyDescent="0.15"/>
    <row r="13380" hidden="1" x14ac:dyDescent="0.15"/>
    <row r="13381" hidden="1" x14ac:dyDescent="0.15"/>
    <row r="13382" hidden="1" x14ac:dyDescent="0.15"/>
    <row r="13383" hidden="1" x14ac:dyDescent="0.15"/>
    <row r="13384" hidden="1" x14ac:dyDescent="0.15"/>
    <row r="13385" hidden="1" x14ac:dyDescent="0.15"/>
    <row r="13386" hidden="1" x14ac:dyDescent="0.15"/>
    <row r="13387" hidden="1" x14ac:dyDescent="0.15"/>
    <row r="13388" hidden="1" x14ac:dyDescent="0.15"/>
    <row r="13389" hidden="1" x14ac:dyDescent="0.15"/>
    <row r="13390" hidden="1" x14ac:dyDescent="0.15"/>
    <row r="13391" hidden="1" x14ac:dyDescent="0.15"/>
    <row r="13392" hidden="1" x14ac:dyDescent="0.15"/>
    <row r="13393" hidden="1" x14ac:dyDescent="0.15"/>
    <row r="13394" hidden="1" x14ac:dyDescent="0.15"/>
    <row r="13395" hidden="1" x14ac:dyDescent="0.15"/>
    <row r="13396" hidden="1" x14ac:dyDescent="0.15"/>
    <row r="13397" hidden="1" x14ac:dyDescent="0.15"/>
    <row r="13398" hidden="1" x14ac:dyDescent="0.15"/>
    <row r="13399" hidden="1" x14ac:dyDescent="0.15"/>
    <row r="13400" hidden="1" x14ac:dyDescent="0.15"/>
    <row r="13401" hidden="1" x14ac:dyDescent="0.15"/>
    <row r="13402" hidden="1" x14ac:dyDescent="0.15"/>
    <row r="13403" hidden="1" x14ac:dyDescent="0.15"/>
    <row r="13404" hidden="1" x14ac:dyDescent="0.15"/>
    <row r="13405" hidden="1" x14ac:dyDescent="0.15"/>
    <row r="13406" hidden="1" x14ac:dyDescent="0.15"/>
    <row r="13407" hidden="1" x14ac:dyDescent="0.15"/>
    <row r="13408" hidden="1" x14ac:dyDescent="0.15"/>
    <row r="13409" hidden="1" x14ac:dyDescent="0.15"/>
    <row r="13410" hidden="1" x14ac:dyDescent="0.15"/>
    <row r="13411" hidden="1" x14ac:dyDescent="0.15"/>
    <row r="13412" hidden="1" x14ac:dyDescent="0.15"/>
    <row r="13413" hidden="1" x14ac:dyDescent="0.15"/>
    <row r="13414" hidden="1" x14ac:dyDescent="0.15"/>
    <row r="13415" hidden="1" x14ac:dyDescent="0.15"/>
    <row r="13416" hidden="1" x14ac:dyDescent="0.15"/>
    <row r="13417" hidden="1" x14ac:dyDescent="0.15"/>
    <row r="13418" hidden="1" x14ac:dyDescent="0.15"/>
    <row r="13419" hidden="1" x14ac:dyDescent="0.15"/>
    <row r="13420" hidden="1" x14ac:dyDescent="0.15"/>
    <row r="13421" hidden="1" x14ac:dyDescent="0.15"/>
    <row r="13422" hidden="1" x14ac:dyDescent="0.15"/>
    <row r="13423" hidden="1" x14ac:dyDescent="0.15"/>
    <row r="13424" hidden="1" x14ac:dyDescent="0.15"/>
    <row r="13425" hidden="1" x14ac:dyDescent="0.15"/>
    <row r="13426" hidden="1" x14ac:dyDescent="0.15"/>
    <row r="13427" hidden="1" x14ac:dyDescent="0.15"/>
    <row r="13428" hidden="1" x14ac:dyDescent="0.15"/>
    <row r="13429" hidden="1" x14ac:dyDescent="0.15"/>
    <row r="13430" hidden="1" x14ac:dyDescent="0.15"/>
    <row r="13431" hidden="1" x14ac:dyDescent="0.15"/>
    <row r="13432" hidden="1" x14ac:dyDescent="0.15"/>
    <row r="13433" hidden="1" x14ac:dyDescent="0.15"/>
    <row r="13434" hidden="1" x14ac:dyDescent="0.15"/>
    <row r="13435" hidden="1" x14ac:dyDescent="0.15"/>
    <row r="13436" hidden="1" x14ac:dyDescent="0.15"/>
    <row r="13437" hidden="1" x14ac:dyDescent="0.15"/>
    <row r="13438" hidden="1" x14ac:dyDescent="0.15"/>
    <row r="13439" hidden="1" x14ac:dyDescent="0.15"/>
    <row r="13440" hidden="1" x14ac:dyDescent="0.15"/>
    <row r="13441" hidden="1" x14ac:dyDescent="0.15"/>
    <row r="13442" hidden="1" x14ac:dyDescent="0.15"/>
    <row r="13443" hidden="1" x14ac:dyDescent="0.15"/>
    <row r="13444" hidden="1" x14ac:dyDescent="0.15"/>
    <row r="13445" hidden="1" x14ac:dyDescent="0.15"/>
    <row r="13446" hidden="1" x14ac:dyDescent="0.15"/>
    <row r="13447" hidden="1" x14ac:dyDescent="0.15"/>
    <row r="13448" hidden="1" x14ac:dyDescent="0.15"/>
    <row r="13449" hidden="1" x14ac:dyDescent="0.15"/>
    <row r="13450" hidden="1" x14ac:dyDescent="0.15"/>
    <row r="13451" hidden="1" x14ac:dyDescent="0.15"/>
    <row r="13452" hidden="1" x14ac:dyDescent="0.15"/>
    <row r="13453" hidden="1" x14ac:dyDescent="0.15"/>
    <row r="13454" hidden="1" x14ac:dyDescent="0.15"/>
    <row r="13455" hidden="1" x14ac:dyDescent="0.15"/>
    <row r="13456" hidden="1" x14ac:dyDescent="0.15"/>
    <row r="13457" hidden="1" x14ac:dyDescent="0.15"/>
    <row r="13458" hidden="1" x14ac:dyDescent="0.15"/>
    <row r="13459" hidden="1" x14ac:dyDescent="0.15"/>
    <row r="13460" hidden="1" x14ac:dyDescent="0.15"/>
    <row r="13461" hidden="1" x14ac:dyDescent="0.15"/>
    <row r="13462" hidden="1" x14ac:dyDescent="0.15"/>
    <row r="13463" hidden="1" x14ac:dyDescent="0.15"/>
    <row r="13464" hidden="1" x14ac:dyDescent="0.15"/>
    <row r="13465" hidden="1" x14ac:dyDescent="0.15"/>
    <row r="13466" hidden="1" x14ac:dyDescent="0.15"/>
    <row r="13467" hidden="1" x14ac:dyDescent="0.15"/>
    <row r="13468" hidden="1" x14ac:dyDescent="0.15"/>
    <row r="13469" hidden="1" x14ac:dyDescent="0.15"/>
    <row r="13470" hidden="1" x14ac:dyDescent="0.15"/>
    <row r="13471" hidden="1" x14ac:dyDescent="0.15"/>
    <row r="13472" hidden="1" x14ac:dyDescent="0.15"/>
    <row r="13473" hidden="1" x14ac:dyDescent="0.15"/>
    <row r="13474" hidden="1" x14ac:dyDescent="0.15"/>
    <row r="13475" hidden="1" x14ac:dyDescent="0.15"/>
    <row r="13476" hidden="1" x14ac:dyDescent="0.15"/>
    <row r="13477" hidden="1" x14ac:dyDescent="0.15"/>
    <row r="13478" hidden="1" x14ac:dyDescent="0.15"/>
    <row r="13479" hidden="1" x14ac:dyDescent="0.15"/>
    <row r="13480" hidden="1" x14ac:dyDescent="0.15"/>
    <row r="13481" hidden="1" x14ac:dyDescent="0.15"/>
    <row r="13482" hidden="1" x14ac:dyDescent="0.15"/>
    <row r="13483" hidden="1" x14ac:dyDescent="0.15"/>
    <row r="13484" hidden="1" x14ac:dyDescent="0.15"/>
    <row r="13485" hidden="1" x14ac:dyDescent="0.15"/>
    <row r="13486" hidden="1" x14ac:dyDescent="0.15"/>
    <row r="13487" hidden="1" x14ac:dyDescent="0.15"/>
    <row r="13488" hidden="1" x14ac:dyDescent="0.15"/>
    <row r="13489" hidden="1" x14ac:dyDescent="0.15"/>
    <row r="13490" hidden="1" x14ac:dyDescent="0.15"/>
    <row r="13491" hidden="1" x14ac:dyDescent="0.15"/>
    <row r="13492" hidden="1" x14ac:dyDescent="0.15"/>
    <row r="13493" hidden="1" x14ac:dyDescent="0.15"/>
    <row r="13494" hidden="1" x14ac:dyDescent="0.15"/>
    <row r="13495" hidden="1" x14ac:dyDescent="0.15"/>
    <row r="13496" hidden="1" x14ac:dyDescent="0.15"/>
    <row r="13497" hidden="1" x14ac:dyDescent="0.15"/>
    <row r="13498" hidden="1" x14ac:dyDescent="0.15"/>
    <row r="13499" hidden="1" x14ac:dyDescent="0.15"/>
    <row r="13500" hidden="1" x14ac:dyDescent="0.15"/>
    <row r="13501" hidden="1" x14ac:dyDescent="0.15"/>
    <row r="13502" hidden="1" x14ac:dyDescent="0.15"/>
    <row r="13503" hidden="1" x14ac:dyDescent="0.15"/>
    <row r="13504" hidden="1" x14ac:dyDescent="0.15"/>
    <row r="13505" hidden="1" x14ac:dyDescent="0.15"/>
    <row r="13506" hidden="1" x14ac:dyDescent="0.15"/>
    <row r="13507" hidden="1" x14ac:dyDescent="0.15"/>
    <row r="13508" hidden="1" x14ac:dyDescent="0.15"/>
    <row r="13509" hidden="1" x14ac:dyDescent="0.15"/>
    <row r="13510" hidden="1" x14ac:dyDescent="0.15"/>
    <row r="13511" hidden="1" x14ac:dyDescent="0.15"/>
    <row r="13512" hidden="1" x14ac:dyDescent="0.15"/>
    <row r="13513" hidden="1" x14ac:dyDescent="0.15"/>
    <row r="13514" hidden="1" x14ac:dyDescent="0.15"/>
    <row r="13515" hidden="1" x14ac:dyDescent="0.15"/>
    <row r="13516" hidden="1" x14ac:dyDescent="0.15"/>
    <row r="13517" hidden="1" x14ac:dyDescent="0.15"/>
    <row r="13518" hidden="1" x14ac:dyDescent="0.15"/>
    <row r="13519" hidden="1" x14ac:dyDescent="0.15"/>
    <row r="13520" hidden="1" x14ac:dyDescent="0.15"/>
    <row r="13521" hidden="1" x14ac:dyDescent="0.15"/>
    <row r="13522" hidden="1" x14ac:dyDescent="0.15"/>
    <row r="13523" hidden="1" x14ac:dyDescent="0.15"/>
    <row r="13524" hidden="1" x14ac:dyDescent="0.15"/>
    <row r="13525" hidden="1" x14ac:dyDescent="0.15"/>
    <row r="13526" hidden="1" x14ac:dyDescent="0.15"/>
    <row r="13527" hidden="1" x14ac:dyDescent="0.15"/>
    <row r="13528" hidden="1" x14ac:dyDescent="0.15"/>
    <row r="13529" hidden="1" x14ac:dyDescent="0.15"/>
    <row r="13530" hidden="1" x14ac:dyDescent="0.15"/>
    <row r="13531" hidden="1" x14ac:dyDescent="0.15"/>
    <row r="13532" hidden="1" x14ac:dyDescent="0.15"/>
    <row r="13533" hidden="1" x14ac:dyDescent="0.15"/>
    <row r="13534" hidden="1" x14ac:dyDescent="0.15"/>
    <row r="13535" hidden="1" x14ac:dyDescent="0.15"/>
    <row r="13536" hidden="1" x14ac:dyDescent="0.15"/>
    <row r="13537" hidden="1" x14ac:dyDescent="0.15"/>
    <row r="13538" hidden="1" x14ac:dyDescent="0.15"/>
    <row r="13539" hidden="1" x14ac:dyDescent="0.15"/>
    <row r="13540" hidden="1" x14ac:dyDescent="0.15"/>
    <row r="13541" hidden="1" x14ac:dyDescent="0.15"/>
    <row r="13542" hidden="1" x14ac:dyDescent="0.15"/>
    <row r="13543" hidden="1" x14ac:dyDescent="0.15"/>
    <row r="13544" hidden="1" x14ac:dyDescent="0.15"/>
    <row r="13545" hidden="1" x14ac:dyDescent="0.15"/>
    <row r="13546" hidden="1" x14ac:dyDescent="0.15"/>
    <row r="13547" hidden="1" x14ac:dyDescent="0.15"/>
    <row r="13548" hidden="1" x14ac:dyDescent="0.15"/>
    <row r="13549" hidden="1" x14ac:dyDescent="0.15"/>
    <row r="13550" hidden="1" x14ac:dyDescent="0.15"/>
    <row r="13551" hidden="1" x14ac:dyDescent="0.15"/>
    <row r="13552" hidden="1" x14ac:dyDescent="0.15"/>
    <row r="13553" hidden="1" x14ac:dyDescent="0.15"/>
    <row r="13554" hidden="1" x14ac:dyDescent="0.15"/>
    <row r="13555" hidden="1" x14ac:dyDescent="0.15"/>
    <row r="13556" hidden="1" x14ac:dyDescent="0.15"/>
    <row r="13557" hidden="1" x14ac:dyDescent="0.15"/>
    <row r="13558" hidden="1" x14ac:dyDescent="0.15"/>
    <row r="13559" hidden="1" x14ac:dyDescent="0.15"/>
    <row r="13560" hidden="1" x14ac:dyDescent="0.15"/>
    <row r="13561" hidden="1" x14ac:dyDescent="0.15"/>
    <row r="13562" hidden="1" x14ac:dyDescent="0.15"/>
    <row r="13563" hidden="1" x14ac:dyDescent="0.15"/>
    <row r="13564" hidden="1" x14ac:dyDescent="0.15"/>
    <row r="13565" hidden="1" x14ac:dyDescent="0.15"/>
    <row r="13566" hidden="1" x14ac:dyDescent="0.15"/>
    <row r="13567" hidden="1" x14ac:dyDescent="0.15"/>
    <row r="13568" hidden="1" x14ac:dyDescent="0.15"/>
    <row r="13569" hidden="1" x14ac:dyDescent="0.15"/>
    <row r="13570" hidden="1" x14ac:dyDescent="0.15"/>
    <row r="13571" hidden="1" x14ac:dyDescent="0.15"/>
    <row r="13572" hidden="1" x14ac:dyDescent="0.15"/>
    <row r="13573" hidden="1" x14ac:dyDescent="0.15"/>
    <row r="13574" hidden="1" x14ac:dyDescent="0.15"/>
    <row r="13575" hidden="1" x14ac:dyDescent="0.15"/>
    <row r="13576" hidden="1" x14ac:dyDescent="0.15"/>
    <row r="13577" hidden="1" x14ac:dyDescent="0.15"/>
    <row r="13578" hidden="1" x14ac:dyDescent="0.15"/>
    <row r="13579" hidden="1" x14ac:dyDescent="0.15"/>
    <row r="13580" hidden="1" x14ac:dyDescent="0.15"/>
    <row r="13581" hidden="1" x14ac:dyDescent="0.15"/>
    <row r="13582" hidden="1" x14ac:dyDescent="0.15"/>
    <row r="13583" hidden="1" x14ac:dyDescent="0.15"/>
    <row r="13584" hidden="1" x14ac:dyDescent="0.15"/>
    <row r="13585" hidden="1" x14ac:dyDescent="0.15"/>
    <row r="13586" hidden="1" x14ac:dyDescent="0.15"/>
    <row r="13587" hidden="1" x14ac:dyDescent="0.15"/>
    <row r="13588" hidden="1" x14ac:dyDescent="0.15"/>
    <row r="13589" hidden="1" x14ac:dyDescent="0.15"/>
    <row r="13590" hidden="1" x14ac:dyDescent="0.15"/>
    <row r="13591" hidden="1" x14ac:dyDescent="0.15"/>
    <row r="13592" hidden="1" x14ac:dyDescent="0.15"/>
    <row r="13593" hidden="1" x14ac:dyDescent="0.15"/>
    <row r="13594" hidden="1" x14ac:dyDescent="0.15"/>
    <row r="13595" hidden="1" x14ac:dyDescent="0.15"/>
    <row r="13596" hidden="1" x14ac:dyDescent="0.15"/>
    <row r="13597" hidden="1" x14ac:dyDescent="0.15"/>
    <row r="13598" hidden="1" x14ac:dyDescent="0.15"/>
    <row r="13599" hidden="1" x14ac:dyDescent="0.15"/>
    <row r="13600" hidden="1" x14ac:dyDescent="0.15"/>
    <row r="13601" hidden="1" x14ac:dyDescent="0.15"/>
    <row r="13602" hidden="1" x14ac:dyDescent="0.15"/>
    <row r="13603" hidden="1" x14ac:dyDescent="0.15"/>
    <row r="13604" hidden="1" x14ac:dyDescent="0.15"/>
    <row r="13605" hidden="1" x14ac:dyDescent="0.15"/>
    <row r="13606" hidden="1" x14ac:dyDescent="0.15"/>
    <row r="13607" hidden="1" x14ac:dyDescent="0.15"/>
    <row r="13608" hidden="1" x14ac:dyDescent="0.15"/>
    <row r="13609" hidden="1" x14ac:dyDescent="0.15"/>
    <row r="13610" hidden="1" x14ac:dyDescent="0.15"/>
    <row r="13611" hidden="1" x14ac:dyDescent="0.15"/>
    <row r="13612" hidden="1" x14ac:dyDescent="0.15"/>
    <row r="13613" hidden="1" x14ac:dyDescent="0.15"/>
    <row r="13614" hidden="1" x14ac:dyDescent="0.15"/>
    <row r="13615" hidden="1" x14ac:dyDescent="0.15"/>
    <row r="13616" hidden="1" x14ac:dyDescent="0.15"/>
    <row r="13617" hidden="1" x14ac:dyDescent="0.15"/>
    <row r="13618" hidden="1" x14ac:dyDescent="0.15"/>
    <row r="13619" hidden="1" x14ac:dyDescent="0.15"/>
    <row r="13620" hidden="1" x14ac:dyDescent="0.15"/>
    <row r="13621" hidden="1" x14ac:dyDescent="0.15"/>
    <row r="13622" hidden="1" x14ac:dyDescent="0.15"/>
    <row r="13623" hidden="1" x14ac:dyDescent="0.15"/>
    <row r="13624" hidden="1" x14ac:dyDescent="0.15"/>
    <row r="13625" hidden="1" x14ac:dyDescent="0.15"/>
    <row r="13626" hidden="1" x14ac:dyDescent="0.15"/>
    <row r="13627" hidden="1" x14ac:dyDescent="0.15"/>
    <row r="13628" hidden="1" x14ac:dyDescent="0.15"/>
    <row r="13629" hidden="1" x14ac:dyDescent="0.15"/>
    <row r="13630" hidden="1" x14ac:dyDescent="0.15"/>
    <row r="13631" hidden="1" x14ac:dyDescent="0.15"/>
    <row r="13632" hidden="1" x14ac:dyDescent="0.15"/>
    <row r="13633" hidden="1" x14ac:dyDescent="0.15"/>
    <row r="13634" hidden="1" x14ac:dyDescent="0.15"/>
    <row r="13635" hidden="1" x14ac:dyDescent="0.15"/>
    <row r="13636" hidden="1" x14ac:dyDescent="0.15"/>
    <row r="13637" hidden="1" x14ac:dyDescent="0.15"/>
    <row r="13638" hidden="1" x14ac:dyDescent="0.15"/>
    <row r="13639" hidden="1" x14ac:dyDescent="0.15"/>
    <row r="13640" hidden="1" x14ac:dyDescent="0.15"/>
    <row r="13641" hidden="1" x14ac:dyDescent="0.15"/>
    <row r="13642" hidden="1" x14ac:dyDescent="0.15"/>
    <row r="13643" hidden="1" x14ac:dyDescent="0.15"/>
    <row r="13644" hidden="1" x14ac:dyDescent="0.15"/>
    <row r="13645" hidden="1" x14ac:dyDescent="0.15"/>
    <row r="13646" hidden="1" x14ac:dyDescent="0.15"/>
    <row r="13647" hidden="1" x14ac:dyDescent="0.15"/>
    <row r="13648" hidden="1" x14ac:dyDescent="0.15"/>
    <row r="13649" hidden="1" x14ac:dyDescent="0.15"/>
    <row r="13650" hidden="1" x14ac:dyDescent="0.15"/>
    <row r="13651" hidden="1" x14ac:dyDescent="0.15"/>
    <row r="13652" hidden="1" x14ac:dyDescent="0.15"/>
    <row r="13653" hidden="1" x14ac:dyDescent="0.15"/>
    <row r="13654" hidden="1" x14ac:dyDescent="0.15"/>
    <row r="13655" hidden="1" x14ac:dyDescent="0.15"/>
    <row r="13656" hidden="1" x14ac:dyDescent="0.15"/>
    <row r="13657" hidden="1" x14ac:dyDescent="0.15"/>
    <row r="13658" hidden="1" x14ac:dyDescent="0.15"/>
    <row r="13659" hidden="1" x14ac:dyDescent="0.15"/>
    <row r="13660" hidden="1" x14ac:dyDescent="0.15"/>
    <row r="13661" hidden="1" x14ac:dyDescent="0.15"/>
    <row r="13662" hidden="1" x14ac:dyDescent="0.15"/>
    <row r="13663" hidden="1" x14ac:dyDescent="0.15"/>
    <row r="13664" hidden="1" x14ac:dyDescent="0.15"/>
    <row r="13665" hidden="1" x14ac:dyDescent="0.15"/>
    <row r="13666" hidden="1" x14ac:dyDescent="0.15"/>
    <row r="13667" hidden="1" x14ac:dyDescent="0.15"/>
    <row r="13668" hidden="1" x14ac:dyDescent="0.15"/>
    <row r="13669" hidden="1" x14ac:dyDescent="0.15"/>
    <row r="13670" hidden="1" x14ac:dyDescent="0.15"/>
    <row r="13671" hidden="1" x14ac:dyDescent="0.15"/>
    <row r="13672" hidden="1" x14ac:dyDescent="0.15"/>
    <row r="13673" hidden="1" x14ac:dyDescent="0.15"/>
    <row r="13674" hidden="1" x14ac:dyDescent="0.15"/>
    <row r="13675" hidden="1" x14ac:dyDescent="0.15"/>
    <row r="13676" hidden="1" x14ac:dyDescent="0.15"/>
    <row r="13677" hidden="1" x14ac:dyDescent="0.15"/>
    <row r="13678" hidden="1" x14ac:dyDescent="0.15"/>
    <row r="13679" hidden="1" x14ac:dyDescent="0.15"/>
    <row r="13680" hidden="1" x14ac:dyDescent="0.15"/>
    <row r="13681" hidden="1" x14ac:dyDescent="0.15"/>
    <row r="13682" hidden="1" x14ac:dyDescent="0.15"/>
    <row r="13683" hidden="1" x14ac:dyDescent="0.15"/>
    <row r="13684" hidden="1" x14ac:dyDescent="0.15"/>
    <row r="13685" hidden="1" x14ac:dyDescent="0.15"/>
    <row r="13686" hidden="1" x14ac:dyDescent="0.15"/>
    <row r="13687" hidden="1" x14ac:dyDescent="0.15"/>
    <row r="13688" hidden="1" x14ac:dyDescent="0.15"/>
    <row r="13689" hidden="1" x14ac:dyDescent="0.15"/>
    <row r="13690" hidden="1" x14ac:dyDescent="0.15"/>
    <row r="13691" hidden="1" x14ac:dyDescent="0.15"/>
    <row r="13692" hidden="1" x14ac:dyDescent="0.15"/>
    <row r="13693" hidden="1" x14ac:dyDescent="0.15"/>
    <row r="13694" hidden="1" x14ac:dyDescent="0.15"/>
    <row r="13695" hidden="1" x14ac:dyDescent="0.15"/>
    <row r="13696" hidden="1" x14ac:dyDescent="0.15"/>
    <row r="13697" hidden="1" x14ac:dyDescent="0.15"/>
    <row r="13698" hidden="1" x14ac:dyDescent="0.15"/>
    <row r="13699" hidden="1" x14ac:dyDescent="0.15"/>
    <row r="13700" hidden="1" x14ac:dyDescent="0.15"/>
    <row r="13701" hidden="1" x14ac:dyDescent="0.15"/>
    <row r="13702" hidden="1" x14ac:dyDescent="0.15"/>
    <row r="13703" hidden="1" x14ac:dyDescent="0.15"/>
    <row r="13704" hidden="1" x14ac:dyDescent="0.15"/>
    <row r="13705" hidden="1" x14ac:dyDescent="0.15"/>
    <row r="13706" hidden="1" x14ac:dyDescent="0.15"/>
    <row r="13707" hidden="1" x14ac:dyDescent="0.15"/>
    <row r="13708" hidden="1" x14ac:dyDescent="0.15"/>
    <row r="13709" hidden="1" x14ac:dyDescent="0.15"/>
    <row r="13710" hidden="1" x14ac:dyDescent="0.15"/>
    <row r="13711" hidden="1" x14ac:dyDescent="0.15"/>
    <row r="13712" hidden="1" x14ac:dyDescent="0.15"/>
    <row r="13713" hidden="1" x14ac:dyDescent="0.15"/>
    <row r="13714" hidden="1" x14ac:dyDescent="0.15"/>
    <row r="13715" hidden="1" x14ac:dyDescent="0.15"/>
    <row r="13716" hidden="1" x14ac:dyDescent="0.15"/>
    <row r="13717" hidden="1" x14ac:dyDescent="0.15"/>
    <row r="13718" hidden="1" x14ac:dyDescent="0.15"/>
    <row r="13719" hidden="1" x14ac:dyDescent="0.15"/>
    <row r="13720" hidden="1" x14ac:dyDescent="0.15"/>
    <row r="13721" hidden="1" x14ac:dyDescent="0.15"/>
    <row r="13722" hidden="1" x14ac:dyDescent="0.15"/>
    <row r="13723" hidden="1" x14ac:dyDescent="0.15"/>
    <row r="13724" hidden="1" x14ac:dyDescent="0.15"/>
    <row r="13725" hidden="1" x14ac:dyDescent="0.15"/>
    <row r="13726" hidden="1" x14ac:dyDescent="0.15"/>
    <row r="13727" hidden="1" x14ac:dyDescent="0.15"/>
    <row r="13728" hidden="1" x14ac:dyDescent="0.15"/>
    <row r="13729" hidden="1" x14ac:dyDescent="0.15"/>
    <row r="13730" hidden="1" x14ac:dyDescent="0.15"/>
    <row r="13731" hidden="1" x14ac:dyDescent="0.15"/>
    <row r="13732" hidden="1" x14ac:dyDescent="0.15"/>
    <row r="13733" hidden="1" x14ac:dyDescent="0.15"/>
    <row r="13734" hidden="1" x14ac:dyDescent="0.15"/>
    <row r="13735" hidden="1" x14ac:dyDescent="0.15"/>
    <row r="13736" hidden="1" x14ac:dyDescent="0.15"/>
    <row r="13737" hidden="1" x14ac:dyDescent="0.15"/>
    <row r="13738" hidden="1" x14ac:dyDescent="0.15"/>
    <row r="13739" hidden="1" x14ac:dyDescent="0.15"/>
    <row r="13740" hidden="1" x14ac:dyDescent="0.15"/>
    <row r="13741" hidden="1" x14ac:dyDescent="0.15"/>
    <row r="13742" hidden="1" x14ac:dyDescent="0.15"/>
    <row r="13743" hidden="1" x14ac:dyDescent="0.15"/>
    <row r="13744" hidden="1" x14ac:dyDescent="0.15"/>
    <row r="13745" hidden="1" x14ac:dyDescent="0.15"/>
    <row r="13746" hidden="1" x14ac:dyDescent="0.15"/>
    <row r="13747" hidden="1" x14ac:dyDescent="0.15"/>
    <row r="13748" hidden="1" x14ac:dyDescent="0.15"/>
    <row r="13749" hidden="1" x14ac:dyDescent="0.15"/>
    <row r="13750" hidden="1" x14ac:dyDescent="0.15"/>
    <row r="13751" hidden="1" x14ac:dyDescent="0.15"/>
    <row r="13752" hidden="1" x14ac:dyDescent="0.15"/>
    <row r="13753" hidden="1" x14ac:dyDescent="0.15"/>
    <row r="13754" hidden="1" x14ac:dyDescent="0.15"/>
    <row r="13755" hidden="1" x14ac:dyDescent="0.15"/>
    <row r="13756" hidden="1" x14ac:dyDescent="0.15"/>
    <row r="13757" hidden="1" x14ac:dyDescent="0.15"/>
    <row r="13758" hidden="1" x14ac:dyDescent="0.15"/>
    <row r="13759" hidden="1" x14ac:dyDescent="0.15"/>
    <row r="13760" hidden="1" x14ac:dyDescent="0.15"/>
    <row r="13761" hidden="1" x14ac:dyDescent="0.15"/>
    <row r="13762" hidden="1" x14ac:dyDescent="0.15"/>
    <row r="13763" hidden="1" x14ac:dyDescent="0.15"/>
    <row r="13764" hidden="1" x14ac:dyDescent="0.15"/>
    <row r="13765" hidden="1" x14ac:dyDescent="0.15"/>
    <row r="13766" hidden="1" x14ac:dyDescent="0.15"/>
    <row r="13767" hidden="1" x14ac:dyDescent="0.15"/>
    <row r="13768" hidden="1" x14ac:dyDescent="0.15"/>
    <row r="13769" hidden="1" x14ac:dyDescent="0.15"/>
    <row r="13770" hidden="1" x14ac:dyDescent="0.15"/>
    <row r="13771" hidden="1" x14ac:dyDescent="0.15"/>
    <row r="13772" hidden="1" x14ac:dyDescent="0.15"/>
    <row r="13773" hidden="1" x14ac:dyDescent="0.15"/>
    <row r="13774" hidden="1" x14ac:dyDescent="0.15"/>
    <row r="13775" hidden="1" x14ac:dyDescent="0.15"/>
    <row r="13776" hidden="1" x14ac:dyDescent="0.15"/>
    <row r="13777" hidden="1" x14ac:dyDescent="0.15"/>
    <row r="13778" hidden="1" x14ac:dyDescent="0.15"/>
    <row r="13779" hidden="1" x14ac:dyDescent="0.15"/>
    <row r="13780" hidden="1" x14ac:dyDescent="0.15"/>
    <row r="13781" hidden="1" x14ac:dyDescent="0.15"/>
    <row r="13782" hidden="1" x14ac:dyDescent="0.15"/>
    <row r="13783" hidden="1" x14ac:dyDescent="0.15"/>
    <row r="13784" hidden="1" x14ac:dyDescent="0.15"/>
    <row r="13785" hidden="1" x14ac:dyDescent="0.15"/>
    <row r="13786" hidden="1" x14ac:dyDescent="0.15"/>
    <row r="13787" hidden="1" x14ac:dyDescent="0.15"/>
    <row r="13788" hidden="1" x14ac:dyDescent="0.15"/>
    <row r="13789" hidden="1" x14ac:dyDescent="0.15"/>
    <row r="13790" hidden="1" x14ac:dyDescent="0.15"/>
    <row r="13791" hidden="1" x14ac:dyDescent="0.15"/>
    <row r="13792" hidden="1" x14ac:dyDescent="0.15"/>
    <row r="13793" hidden="1" x14ac:dyDescent="0.15"/>
    <row r="13794" hidden="1" x14ac:dyDescent="0.15"/>
    <row r="13795" hidden="1" x14ac:dyDescent="0.15"/>
    <row r="13796" hidden="1" x14ac:dyDescent="0.15"/>
    <row r="13797" hidden="1" x14ac:dyDescent="0.15"/>
    <row r="13798" hidden="1" x14ac:dyDescent="0.15"/>
    <row r="13799" hidden="1" x14ac:dyDescent="0.15"/>
    <row r="13800" hidden="1" x14ac:dyDescent="0.15"/>
    <row r="13801" hidden="1" x14ac:dyDescent="0.15"/>
    <row r="13802" hidden="1" x14ac:dyDescent="0.15"/>
    <row r="13803" hidden="1" x14ac:dyDescent="0.15"/>
    <row r="13804" hidden="1" x14ac:dyDescent="0.15"/>
    <row r="13805" hidden="1" x14ac:dyDescent="0.15"/>
    <row r="13806" hidden="1" x14ac:dyDescent="0.15"/>
    <row r="13807" hidden="1" x14ac:dyDescent="0.15"/>
    <row r="13808" hidden="1" x14ac:dyDescent="0.15"/>
    <row r="13809" hidden="1" x14ac:dyDescent="0.15"/>
    <row r="13810" hidden="1" x14ac:dyDescent="0.15"/>
    <row r="13811" hidden="1" x14ac:dyDescent="0.15"/>
    <row r="13812" hidden="1" x14ac:dyDescent="0.15"/>
    <row r="13813" hidden="1" x14ac:dyDescent="0.15"/>
    <row r="13814" hidden="1" x14ac:dyDescent="0.15"/>
    <row r="13815" hidden="1" x14ac:dyDescent="0.15"/>
    <row r="13816" hidden="1" x14ac:dyDescent="0.15"/>
    <row r="13817" hidden="1" x14ac:dyDescent="0.15"/>
    <row r="13818" hidden="1" x14ac:dyDescent="0.15"/>
    <row r="13819" hidden="1" x14ac:dyDescent="0.15"/>
    <row r="13820" hidden="1" x14ac:dyDescent="0.15"/>
    <row r="13821" hidden="1" x14ac:dyDescent="0.15"/>
    <row r="13822" hidden="1" x14ac:dyDescent="0.15"/>
    <row r="13823" hidden="1" x14ac:dyDescent="0.15"/>
    <row r="13824" hidden="1" x14ac:dyDescent="0.15"/>
    <row r="13825" hidden="1" x14ac:dyDescent="0.15"/>
    <row r="13826" hidden="1" x14ac:dyDescent="0.15"/>
    <row r="13827" hidden="1" x14ac:dyDescent="0.15"/>
    <row r="13828" hidden="1" x14ac:dyDescent="0.15"/>
    <row r="13829" hidden="1" x14ac:dyDescent="0.15"/>
    <row r="13830" hidden="1" x14ac:dyDescent="0.15"/>
    <row r="13831" hidden="1" x14ac:dyDescent="0.15"/>
    <row r="13832" hidden="1" x14ac:dyDescent="0.15"/>
    <row r="13833" hidden="1" x14ac:dyDescent="0.15"/>
    <row r="13834" hidden="1" x14ac:dyDescent="0.15"/>
    <row r="13835" hidden="1" x14ac:dyDescent="0.15"/>
    <row r="13836" hidden="1" x14ac:dyDescent="0.15"/>
    <row r="13837" hidden="1" x14ac:dyDescent="0.15"/>
    <row r="13838" hidden="1" x14ac:dyDescent="0.15"/>
    <row r="13839" hidden="1" x14ac:dyDescent="0.15"/>
    <row r="13840" hidden="1" x14ac:dyDescent="0.15"/>
    <row r="13841" hidden="1" x14ac:dyDescent="0.15"/>
    <row r="13842" hidden="1" x14ac:dyDescent="0.15"/>
    <row r="13843" hidden="1" x14ac:dyDescent="0.15"/>
    <row r="13844" hidden="1" x14ac:dyDescent="0.15"/>
    <row r="13845" hidden="1" x14ac:dyDescent="0.15"/>
    <row r="13846" hidden="1" x14ac:dyDescent="0.15"/>
    <row r="13847" hidden="1" x14ac:dyDescent="0.15"/>
    <row r="13848" hidden="1" x14ac:dyDescent="0.15"/>
    <row r="13849" hidden="1" x14ac:dyDescent="0.15"/>
    <row r="13850" hidden="1" x14ac:dyDescent="0.15"/>
    <row r="13851" hidden="1" x14ac:dyDescent="0.15"/>
    <row r="13852" hidden="1" x14ac:dyDescent="0.15"/>
    <row r="13853" hidden="1" x14ac:dyDescent="0.15"/>
    <row r="13854" hidden="1" x14ac:dyDescent="0.15"/>
    <row r="13855" hidden="1" x14ac:dyDescent="0.15"/>
    <row r="13856" hidden="1" x14ac:dyDescent="0.15"/>
    <row r="13857" hidden="1" x14ac:dyDescent="0.15"/>
    <row r="13858" hidden="1" x14ac:dyDescent="0.15"/>
    <row r="13859" hidden="1" x14ac:dyDescent="0.15"/>
    <row r="13860" hidden="1" x14ac:dyDescent="0.15"/>
    <row r="13861" hidden="1" x14ac:dyDescent="0.15"/>
    <row r="13862" hidden="1" x14ac:dyDescent="0.15"/>
    <row r="13863" hidden="1" x14ac:dyDescent="0.15"/>
    <row r="13864" hidden="1" x14ac:dyDescent="0.15"/>
    <row r="13865" hidden="1" x14ac:dyDescent="0.15"/>
    <row r="13866" hidden="1" x14ac:dyDescent="0.15"/>
    <row r="13867" hidden="1" x14ac:dyDescent="0.15"/>
    <row r="13868" hidden="1" x14ac:dyDescent="0.15"/>
    <row r="13869" hidden="1" x14ac:dyDescent="0.15"/>
    <row r="13870" hidden="1" x14ac:dyDescent="0.15"/>
    <row r="13871" hidden="1" x14ac:dyDescent="0.15"/>
    <row r="13872" hidden="1" x14ac:dyDescent="0.15"/>
    <row r="13873" hidden="1" x14ac:dyDescent="0.15"/>
    <row r="13874" hidden="1" x14ac:dyDescent="0.15"/>
    <row r="13875" hidden="1" x14ac:dyDescent="0.15"/>
    <row r="13876" hidden="1" x14ac:dyDescent="0.15"/>
    <row r="13877" hidden="1" x14ac:dyDescent="0.15"/>
    <row r="13878" hidden="1" x14ac:dyDescent="0.15"/>
    <row r="13879" hidden="1" x14ac:dyDescent="0.15"/>
    <row r="13880" hidden="1" x14ac:dyDescent="0.15"/>
    <row r="13881" hidden="1" x14ac:dyDescent="0.15"/>
    <row r="13882" hidden="1" x14ac:dyDescent="0.15"/>
    <row r="13883" hidden="1" x14ac:dyDescent="0.15"/>
    <row r="13884" hidden="1" x14ac:dyDescent="0.15"/>
    <row r="13885" hidden="1" x14ac:dyDescent="0.15"/>
    <row r="13886" hidden="1" x14ac:dyDescent="0.15"/>
    <row r="13887" hidden="1" x14ac:dyDescent="0.15"/>
    <row r="13888" hidden="1" x14ac:dyDescent="0.15"/>
    <row r="13889" hidden="1" x14ac:dyDescent="0.15"/>
    <row r="13890" hidden="1" x14ac:dyDescent="0.15"/>
    <row r="13891" hidden="1" x14ac:dyDescent="0.15"/>
    <row r="13892" hidden="1" x14ac:dyDescent="0.15"/>
    <row r="13893" hidden="1" x14ac:dyDescent="0.15"/>
    <row r="13894" hidden="1" x14ac:dyDescent="0.15"/>
    <row r="13895" hidden="1" x14ac:dyDescent="0.15"/>
    <row r="13896" hidden="1" x14ac:dyDescent="0.15"/>
    <row r="13897" hidden="1" x14ac:dyDescent="0.15"/>
    <row r="13898" hidden="1" x14ac:dyDescent="0.15"/>
    <row r="13899" hidden="1" x14ac:dyDescent="0.15"/>
    <row r="13900" hidden="1" x14ac:dyDescent="0.15"/>
    <row r="13901" hidden="1" x14ac:dyDescent="0.15"/>
    <row r="13902" hidden="1" x14ac:dyDescent="0.15"/>
    <row r="13903" hidden="1" x14ac:dyDescent="0.15"/>
    <row r="13904" hidden="1" x14ac:dyDescent="0.15"/>
    <row r="13905" hidden="1" x14ac:dyDescent="0.15"/>
    <row r="13906" hidden="1" x14ac:dyDescent="0.15"/>
    <row r="13907" hidden="1" x14ac:dyDescent="0.15"/>
    <row r="13908" hidden="1" x14ac:dyDescent="0.15"/>
    <row r="13909" hidden="1" x14ac:dyDescent="0.15"/>
    <row r="13910" hidden="1" x14ac:dyDescent="0.15"/>
    <row r="13911" hidden="1" x14ac:dyDescent="0.15"/>
    <row r="13912" hidden="1" x14ac:dyDescent="0.15"/>
    <row r="13913" hidden="1" x14ac:dyDescent="0.15"/>
    <row r="13914" hidden="1" x14ac:dyDescent="0.15"/>
    <row r="13915" hidden="1" x14ac:dyDescent="0.15"/>
    <row r="13916" hidden="1" x14ac:dyDescent="0.15"/>
    <row r="13917" hidden="1" x14ac:dyDescent="0.15"/>
    <row r="13918" hidden="1" x14ac:dyDescent="0.15"/>
    <row r="13919" hidden="1" x14ac:dyDescent="0.15"/>
    <row r="13920" hidden="1" x14ac:dyDescent="0.15"/>
    <row r="13921" hidden="1" x14ac:dyDescent="0.15"/>
    <row r="13922" hidden="1" x14ac:dyDescent="0.15"/>
    <row r="13923" hidden="1" x14ac:dyDescent="0.15"/>
    <row r="13924" hidden="1" x14ac:dyDescent="0.15"/>
    <row r="13925" hidden="1" x14ac:dyDescent="0.15"/>
    <row r="13926" hidden="1" x14ac:dyDescent="0.15"/>
    <row r="13927" hidden="1" x14ac:dyDescent="0.15"/>
    <row r="13928" hidden="1" x14ac:dyDescent="0.15"/>
    <row r="13929" hidden="1" x14ac:dyDescent="0.15"/>
    <row r="13930" hidden="1" x14ac:dyDescent="0.15"/>
    <row r="13931" hidden="1" x14ac:dyDescent="0.15"/>
    <row r="13932" hidden="1" x14ac:dyDescent="0.15"/>
    <row r="13933" hidden="1" x14ac:dyDescent="0.15"/>
    <row r="13934" hidden="1" x14ac:dyDescent="0.15"/>
    <row r="13935" hidden="1" x14ac:dyDescent="0.15"/>
    <row r="13936" hidden="1" x14ac:dyDescent="0.15"/>
    <row r="13937" hidden="1" x14ac:dyDescent="0.15"/>
    <row r="13938" hidden="1" x14ac:dyDescent="0.15"/>
    <row r="13939" hidden="1" x14ac:dyDescent="0.15"/>
    <row r="13940" hidden="1" x14ac:dyDescent="0.15"/>
    <row r="13941" hidden="1" x14ac:dyDescent="0.15"/>
    <row r="13942" hidden="1" x14ac:dyDescent="0.15"/>
    <row r="13943" hidden="1" x14ac:dyDescent="0.15"/>
    <row r="13944" hidden="1" x14ac:dyDescent="0.15"/>
    <row r="13945" hidden="1" x14ac:dyDescent="0.15"/>
    <row r="13946" hidden="1" x14ac:dyDescent="0.15"/>
    <row r="13947" hidden="1" x14ac:dyDescent="0.15"/>
    <row r="13948" hidden="1" x14ac:dyDescent="0.15"/>
    <row r="13949" hidden="1" x14ac:dyDescent="0.15"/>
    <row r="13950" hidden="1" x14ac:dyDescent="0.15"/>
    <row r="13951" hidden="1" x14ac:dyDescent="0.15"/>
    <row r="13952" hidden="1" x14ac:dyDescent="0.15"/>
    <row r="13953" hidden="1" x14ac:dyDescent="0.15"/>
    <row r="13954" hidden="1" x14ac:dyDescent="0.15"/>
    <row r="13955" hidden="1" x14ac:dyDescent="0.15"/>
    <row r="13956" hidden="1" x14ac:dyDescent="0.15"/>
    <row r="13957" hidden="1" x14ac:dyDescent="0.15"/>
    <row r="13958" hidden="1" x14ac:dyDescent="0.15"/>
    <row r="13959" hidden="1" x14ac:dyDescent="0.15"/>
    <row r="13960" hidden="1" x14ac:dyDescent="0.15"/>
    <row r="13961" hidden="1" x14ac:dyDescent="0.15"/>
    <row r="13962" hidden="1" x14ac:dyDescent="0.15"/>
    <row r="13963" hidden="1" x14ac:dyDescent="0.15"/>
    <row r="13964" hidden="1" x14ac:dyDescent="0.15"/>
    <row r="13965" hidden="1" x14ac:dyDescent="0.15"/>
    <row r="13966" hidden="1" x14ac:dyDescent="0.15"/>
    <row r="13967" hidden="1" x14ac:dyDescent="0.15"/>
    <row r="13968" hidden="1" x14ac:dyDescent="0.15"/>
    <row r="13969" hidden="1" x14ac:dyDescent="0.15"/>
    <row r="13970" hidden="1" x14ac:dyDescent="0.15"/>
    <row r="13971" hidden="1" x14ac:dyDescent="0.15"/>
    <row r="13972" hidden="1" x14ac:dyDescent="0.15"/>
    <row r="13973" hidden="1" x14ac:dyDescent="0.15"/>
    <row r="13974" hidden="1" x14ac:dyDescent="0.15"/>
    <row r="13975" hidden="1" x14ac:dyDescent="0.15"/>
    <row r="13976" hidden="1" x14ac:dyDescent="0.15"/>
    <row r="13977" hidden="1" x14ac:dyDescent="0.15"/>
    <row r="13978" hidden="1" x14ac:dyDescent="0.15"/>
    <row r="13979" hidden="1" x14ac:dyDescent="0.15"/>
    <row r="13980" hidden="1" x14ac:dyDescent="0.15"/>
    <row r="13981" hidden="1" x14ac:dyDescent="0.15"/>
    <row r="13982" hidden="1" x14ac:dyDescent="0.15"/>
    <row r="13983" hidden="1" x14ac:dyDescent="0.15"/>
    <row r="13984" hidden="1" x14ac:dyDescent="0.15"/>
    <row r="13985" hidden="1" x14ac:dyDescent="0.15"/>
    <row r="13986" hidden="1" x14ac:dyDescent="0.15"/>
    <row r="13987" hidden="1" x14ac:dyDescent="0.15"/>
    <row r="13988" hidden="1" x14ac:dyDescent="0.15"/>
    <row r="13989" hidden="1" x14ac:dyDescent="0.15"/>
    <row r="13990" hidden="1" x14ac:dyDescent="0.15"/>
    <row r="13991" hidden="1" x14ac:dyDescent="0.15"/>
    <row r="13992" hidden="1" x14ac:dyDescent="0.15"/>
    <row r="13993" hidden="1" x14ac:dyDescent="0.15"/>
    <row r="13994" hidden="1" x14ac:dyDescent="0.15"/>
    <row r="13995" hidden="1" x14ac:dyDescent="0.15"/>
    <row r="13996" hidden="1" x14ac:dyDescent="0.15"/>
    <row r="13997" hidden="1" x14ac:dyDescent="0.15"/>
    <row r="13998" hidden="1" x14ac:dyDescent="0.15"/>
    <row r="13999" hidden="1" x14ac:dyDescent="0.15"/>
    <row r="14000" hidden="1" x14ac:dyDescent="0.15"/>
    <row r="14001" hidden="1" x14ac:dyDescent="0.15"/>
    <row r="14002" hidden="1" x14ac:dyDescent="0.15"/>
    <row r="14003" hidden="1" x14ac:dyDescent="0.15"/>
    <row r="14004" hidden="1" x14ac:dyDescent="0.15"/>
    <row r="14005" hidden="1" x14ac:dyDescent="0.15"/>
    <row r="14006" hidden="1" x14ac:dyDescent="0.15"/>
    <row r="14007" hidden="1" x14ac:dyDescent="0.15"/>
    <row r="14008" hidden="1" x14ac:dyDescent="0.15"/>
    <row r="14009" hidden="1" x14ac:dyDescent="0.15"/>
    <row r="14010" hidden="1" x14ac:dyDescent="0.15"/>
    <row r="14011" hidden="1" x14ac:dyDescent="0.15"/>
    <row r="14012" hidden="1" x14ac:dyDescent="0.15"/>
    <row r="14013" hidden="1" x14ac:dyDescent="0.15"/>
    <row r="14014" hidden="1" x14ac:dyDescent="0.15"/>
    <row r="14015" hidden="1" x14ac:dyDescent="0.15"/>
    <row r="14016" hidden="1" x14ac:dyDescent="0.15"/>
    <row r="14017" hidden="1" x14ac:dyDescent="0.15"/>
    <row r="14018" hidden="1" x14ac:dyDescent="0.15"/>
    <row r="14019" hidden="1" x14ac:dyDescent="0.15"/>
    <row r="14020" hidden="1" x14ac:dyDescent="0.15"/>
    <row r="14021" hidden="1" x14ac:dyDescent="0.15"/>
    <row r="14022" hidden="1" x14ac:dyDescent="0.15"/>
    <row r="14023" hidden="1" x14ac:dyDescent="0.15"/>
    <row r="14024" hidden="1" x14ac:dyDescent="0.15"/>
    <row r="14025" hidden="1" x14ac:dyDescent="0.15"/>
    <row r="14026" hidden="1" x14ac:dyDescent="0.15"/>
    <row r="14027" hidden="1" x14ac:dyDescent="0.15"/>
    <row r="14028" hidden="1" x14ac:dyDescent="0.15"/>
    <row r="14029" hidden="1" x14ac:dyDescent="0.15"/>
    <row r="14030" hidden="1" x14ac:dyDescent="0.15"/>
    <row r="14031" hidden="1" x14ac:dyDescent="0.15"/>
    <row r="14032" hidden="1" x14ac:dyDescent="0.15"/>
    <row r="14033" hidden="1" x14ac:dyDescent="0.15"/>
    <row r="14034" hidden="1" x14ac:dyDescent="0.15"/>
    <row r="14035" hidden="1" x14ac:dyDescent="0.15"/>
    <row r="14036" hidden="1" x14ac:dyDescent="0.15"/>
    <row r="14037" hidden="1" x14ac:dyDescent="0.15"/>
    <row r="14038" hidden="1" x14ac:dyDescent="0.15"/>
    <row r="14039" hidden="1" x14ac:dyDescent="0.15"/>
    <row r="14040" hidden="1" x14ac:dyDescent="0.15"/>
    <row r="14041" hidden="1" x14ac:dyDescent="0.15"/>
    <row r="14042" hidden="1" x14ac:dyDescent="0.15"/>
    <row r="14043" hidden="1" x14ac:dyDescent="0.15"/>
    <row r="14044" hidden="1" x14ac:dyDescent="0.15"/>
    <row r="14045" hidden="1" x14ac:dyDescent="0.15"/>
    <row r="14046" hidden="1" x14ac:dyDescent="0.15"/>
    <row r="14047" hidden="1" x14ac:dyDescent="0.15"/>
    <row r="14048" hidden="1" x14ac:dyDescent="0.15"/>
    <row r="14049" hidden="1" x14ac:dyDescent="0.15"/>
    <row r="14050" hidden="1" x14ac:dyDescent="0.15"/>
    <row r="14051" hidden="1" x14ac:dyDescent="0.15"/>
    <row r="14052" hidden="1" x14ac:dyDescent="0.15"/>
    <row r="14053" hidden="1" x14ac:dyDescent="0.15"/>
    <row r="14054" hidden="1" x14ac:dyDescent="0.15"/>
    <row r="14055" hidden="1" x14ac:dyDescent="0.15"/>
    <row r="14056" hidden="1" x14ac:dyDescent="0.15"/>
    <row r="14057" hidden="1" x14ac:dyDescent="0.15"/>
    <row r="14058" hidden="1" x14ac:dyDescent="0.15"/>
    <row r="14059" hidden="1" x14ac:dyDescent="0.15"/>
    <row r="14060" hidden="1" x14ac:dyDescent="0.15"/>
    <row r="14061" hidden="1" x14ac:dyDescent="0.15"/>
    <row r="14062" hidden="1" x14ac:dyDescent="0.15"/>
    <row r="14063" hidden="1" x14ac:dyDescent="0.15"/>
    <row r="14064" hidden="1" x14ac:dyDescent="0.15"/>
    <row r="14065" hidden="1" x14ac:dyDescent="0.15"/>
    <row r="14066" hidden="1" x14ac:dyDescent="0.15"/>
    <row r="14067" hidden="1" x14ac:dyDescent="0.15"/>
    <row r="14068" hidden="1" x14ac:dyDescent="0.15"/>
    <row r="14069" hidden="1" x14ac:dyDescent="0.15"/>
    <row r="14070" hidden="1" x14ac:dyDescent="0.15"/>
    <row r="14071" hidden="1" x14ac:dyDescent="0.15"/>
    <row r="14072" hidden="1" x14ac:dyDescent="0.15"/>
    <row r="14073" hidden="1" x14ac:dyDescent="0.15"/>
    <row r="14074" hidden="1" x14ac:dyDescent="0.15"/>
    <row r="14075" hidden="1" x14ac:dyDescent="0.15"/>
    <row r="14076" hidden="1" x14ac:dyDescent="0.15"/>
    <row r="14077" hidden="1" x14ac:dyDescent="0.15"/>
    <row r="14078" hidden="1" x14ac:dyDescent="0.15"/>
    <row r="14079" hidden="1" x14ac:dyDescent="0.15"/>
    <row r="14080" hidden="1" x14ac:dyDescent="0.15"/>
    <row r="14081" hidden="1" x14ac:dyDescent="0.15"/>
    <row r="14082" hidden="1" x14ac:dyDescent="0.15"/>
    <row r="14083" hidden="1" x14ac:dyDescent="0.15"/>
    <row r="14084" hidden="1" x14ac:dyDescent="0.15"/>
    <row r="14085" hidden="1" x14ac:dyDescent="0.15"/>
    <row r="14086" hidden="1" x14ac:dyDescent="0.15"/>
    <row r="14087" hidden="1" x14ac:dyDescent="0.15"/>
    <row r="14088" hidden="1" x14ac:dyDescent="0.15"/>
    <row r="14089" hidden="1" x14ac:dyDescent="0.15"/>
    <row r="14090" hidden="1" x14ac:dyDescent="0.15"/>
    <row r="14091" hidden="1" x14ac:dyDescent="0.15"/>
    <row r="14092" hidden="1" x14ac:dyDescent="0.15"/>
    <row r="14093" hidden="1" x14ac:dyDescent="0.15"/>
    <row r="14094" hidden="1" x14ac:dyDescent="0.15"/>
    <row r="14095" hidden="1" x14ac:dyDescent="0.15"/>
    <row r="14096" hidden="1" x14ac:dyDescent="0.15"/>
    <row r="14097" hidden="1" x14ac:dyDescent="0.15"/>
    <row r="14098" hidden="1" x14ac:dyDescent="0.15"/>
    <row r="14099" hidden="1" x14ac:dyDescent="0.15"/>
    <row r="14100" hidden="1" x14ac:dyDescent="0.15"/>
    <row r="14101" hidden="1" x14ac:dyDescent="0.15"/>
    <row r="14102" hidden="1" x14ac:dyDescent="0.15"/>
    <row r="14103" hidden="1" x14ac:dyDescent="0.15"/>
    <row r="14104" hidden="1" x14ac:dyDescent="0.15"/>
    <row r="14105" hidden="1" x14ac:dyDescent="0.15"/>
    <row r="14106" hidden="1" x14ac:dyDescent="0.15"/>
    <row r="14107" hidden="1" x14ac:dyDescent="0.15"/>
    <row r="14108" hidden="1" x14ac:dyDescent="0.15"/>
    <row r="14109" hidden="1" x14ac:dyDescent="0.15"/>
    <row r="14110" hidden="1" x14ac:dyDescent="0.15"/>
    <row r="14111" hidden="1" x14ac:dyDescent="0.15"/>
    <row r="14112" hidden="1" x14ac:dyDescent="0.15"/>
    <row r="14113" hidden="1" x14ac:dyDescent="0.15"/>
    <row r="14114" hidden="1" x14ac:dyDescent="0.15"/>
    <row r="14115" hidden="1" x14ac:dyDescent="0.15"/>
    <row r="14116" hidden="1" x14ac:dyDescent="0.15"/>
    <row r="14117" hidden="1" x14ac:dyDescent="0.15"/>
    <row r="14118" hidden="1" x14ac:dyDescent="0.15"/>
    <row r="14119" hidden="1" x14ac:dyDescent="0.15"/>
    <row r="14120" hidden="1" x14ac:dyDescent="0.15"/>
    <row r="14121" hidden="1" x14ac:dyDescent="0.15"/>
    <row r="14122" hidden="1" x14ac:dyDescent="0.15"/>
    <row r="14123" hidden="1" x14ac:dyDescent="0.15"/>
    <row r="14124" hidden="1" x14ac:dyDescent="0.15"/>
    <row r="14125" hidden="1" x14ac:dyDescent="0.15"/>
    <row r="14126" hidden="1" x14ac:dyDescent="0.15"/>
    <row r="14127" hidden="1" x14ac:dyDescent="0.15"/>
    <row r="14128" hidden="1" x14ac:dyDescent="0.15"/>
    <row r="14129" hidden="1" x14ac:dyDescent="0.15"/>
    <row r="14130" hidden="1" x14ac:dyDescent="0.15"/>
    <row r="14131" hidden="1" x14ac:dyDescent="0.15"/>
    <row r="14132" hidden="1" x14ac:dyDescent="0.15"/>
    <row r="14133" hidden="1" x14ac:dyDescent="0.15"/>
    <row r="14134" hidden="1" x14ac:dyDescent="0.15"/>
    <row r="14135" hidden="1" x14ac:dyDescent="0.15"/>
    <row r="14136" hidden="1" x14ac:dyDescent="0.15"/>
    <row r="14137" hidden="1" x14ac:dyDescent="0.15"/>
    <row r="14138" hidden="1" x14ac:dyDescent="0.15"/>
    <row r="14139" hidden="1" x14ac:dyDescent="0.15"/>
    <row r="14140" hidden="1" x14ac:dyDescent="0.15"/>
    <row r="14141" hidden="1" x14ac:dyDescent="0.15"/>
    <row r="14142" hidden="1" x14ac:dyDescent="0.15"/>
    <row r="14143" hidden="1" x14ac:dyDescent="0.15"/>
    <row r="14144" hidden="1" x14ac:dyDescent="0.15"/>
    <row r="14145" hidden="1" x14ac:dyDescent="0.15"/>
    <row r="14146" hidden="1" x14ac:dyDescent="0.15"/>
    <row r="14147" hidden="1" x14ac:dyDescent="0.15"/>
    <row r="14148" hidden="1" x14ac:dyDescent="0.15"/>
    <row r="14149" hidden="1" x14ac:dyDescent="0.15"/>
    <row r="14150" hidden="1" x14ac:dyDescent="0.15"/>
    <row r="14151" hidden="1" x14ac:dyDescent="0.15"/>
    <row r="14152" hidden="1" x14ac:dyDescent="0.15"/>
    <row r="14153" hidden="1" x14ac:dyDescent="0.15"/>
    <row r="14154" hidden="1" x14ac:dyDescent="0.15"/>
    <row r="14155" hidden="1" x14ac:dyDescent="0.15"/>
    <row r="14156" hidden="1" x14ac:dyDescent="0.15"/>
    <row r="14157" hidden="1" x14ac:dyDescent="0.15"/>
    <row r="14158" hidden="1" x14ac:dyDescent="0.15"/>
    <row r="14159" hidden="1" x14ac:dyDescent="0.15"/>
    <row r="14160" hidden="1" x14ac:dyDescent="0.15"/>
    <row r="14161" hidden="1" x14ac:dyDescent="0.15"/>
    <row r="14162" hidden="1" x14ac:dyDescent="0.15"/>
    <row r="14163" hidden="1" x14ac:dyDescent="0.15"/>
    <row r="14164" hidden="1" x14ac:dyDescent="0.15"/>
    <row r="14165" hidden="1" x14ac:dyDescent="0.15"/>
    <row r="14166" hidden="1" x14ac:dyDescent="0.15"/>
    <row r="14167" hidden="1" x14ac:dyDescent="0.15"/>
    <row r="14168" hidden="1" x14ac:dyDescent="0.15"/>
    <row r="14169" hidden="1" x14ac:dyDescent="0.15"/>
    <row r="14170" hidden="1" x14ac:dyDescent="0.15"/>
    <row r="14171" hidden="1" x14ac:dyDescent="0.15"/>
    <row r="14172" hidden="1" x14ac:dyDescent="0.15"/>
    <row r="14173" hidden="1" x14ac:dyDescent="0.15"/>
    <row r="14174" hidden="1" x14ac:dyDescent="0.15"/>
    <row r="14175" hidden="1" x14ac:dyDescent="0.15"/>
    <row r="14176" hidden="1" x14ac:dyDescent="0.15"/>
    <row r="14177" hidden="1" x14ac:dyDescent="0.15"/>
    <row r="14178" hidden="1" x14ac:dyDescent="0.15"/>
    <row r="14179" hidden="1" x14ac:dyDescent="0.15"/>
    <row r="14180" hidden="1" x14ac:dyDescent="0.15"/>
    <row r="14181" hidden="1" x14ac:dyDescent="0.15"/>
    <row r="14182" hidden="1" x14ac:dyDescent="0.15"/>
    <row r="14183" hidden="1" x14ac:dyDescent="0.15"/>
    <row r="14184" hidden="1" x14ac:dyDescent="0.15"/>
    <row r="14185" hidden="1" x14ac:dyDescent="0.15"/>
    <row r="14186" hidden="1" x14ac:dyDescent="0.15"/>
    <row r="14187" hidden="1" x14ac:dyDescent="0.15"/>
    <row r="14188" hidden="1" x14ac:dyDescent="0.15"/>
    <row r="14189" hidden="1" x14ac:dyDescent="0.15"/>
    <row r="14190" hidden="1" x14ac:dyDescent="0.15"/>
    <row r="14191" hidden="1" x14ac:dyDescent="0.15"/>
    <row r="14192" hidden="1" x14ac:dyDescent="0.15"/>
    <row r="14193" hidden="1" x14ac:dyDescent="0.15"/>
    <row r="14194" hidden="1" x14ac:dyDescent="0.15"/>
    <row r="14195" hidden="1" x14ac:dyDescent="0.15"/>
    <row r="14196" hidden="1" x14ac:dyDescent="0.15"/>
    <row r="14197" hidden="1" x14ac:dyDescent="0.15"/>
    <row r="14198" hidden="1" x14ac:dyDescent="0.15"/>
    <row r="14199" hidden="1" x14ac:dyDescent="0.15"/>
    <row r="14200" hidden="1" x14ac:dyDescent="0.15"/>
    <row r="14201" hidden="1" x14ac:dyDescent="0.15"/>
    <row r="14202" hidden="1" x14ac:dyDescent="0.15"/>
    <row r="14203" hidden="1" x14ac:dyDescent="0.15"/>
    <row r="14204" hidden="1" x14ac:dyDescent="0.15"/>
    <row r="14205" hidden="1" x14ac:dyDescent="0.15"/>
    <row r="14206" hidden="1" x14ac:dyDescent="0.15"/>
    <row r="14207" hidden="1" x14ac:dyDescent="0.15"/>
    <row r="14208" hidden="1" x14ac:dyDescent="0.15"/>
    <row r="14209" hidden="1" x14ac:dyDescent="0.15"/>
    <row r="14210" hidden="1" x14ac:dyDescent="0.15"/>
    <row r="14211" hidden="1" x14ac:dyDescent="0.15"/>
    <row r="14212" hidden="1" x14ac:dyDescent="0.15"/>
    <row r="14213" hidden="1" x14ac:dyDescent="0.15"/>
    <row r="14214" hidden="1" x14ac:dyDescent="0.15"/>
    <row r="14215" hidden="1" x14ac:dyDescent="0.15"/>
    <row r="14216" hidden="1" x14ac:dyDescent="0.15"/>
    <row r="14217" hidden="1" x14ac:dyDescent="0.15"/>
    <row r="14218" hidden="1" x14ac:dyDescent="0.15"/>
    <row r="14219" hidden="1" x14ac:dyDescent="0.15"/>
    <row r="14220" hidden="1" x14ac:dyDescent="0.15"/>
    <row r="14221" hidden="1" x14ac:dyDescent="0.15"/>
    <row r="14222" hidden="1" x14ac:dyDescent="0.15"/>
    <row r="14223" hidden="1" x14ac:dyDescent="0.15"/>
    <row r="14224" hidden="1" x14ac:dyDescent="0.15"/>
    <row r="14225" hidden="1" x14ac:dyDescent="0.15"/>
    <row r="14226" hidden="1" x14ac:dyDescent="0.15"/>
    <row r="14227" hidden="1" x14ac:dyDescent="0.15"/>
    <row r="14228" hidden="1" x14ac:dyDescent="0.15"/>
    <row r="14229" hidden="1" x14ac:dyDescent="0.15"/>
    <row r="14230" hidden="1" x14ac:dyDescent="0.15"/>
    <row r="14231" hidden="1" x14ac:dyDescent="0.15"/>
    <row r="14232" hidden="1" x14ac:dyDescent="0.15"/>
    <row r="14233" hidden="1" x14ac:dyDescent="0.15"/>
    <row r="14234" hidden="1" x14ac:dyDescent="0.15"/>
    <row r="14235" hidden="1" x14ac:dyDescent="0.15"/>
    <row r="14236" hidden="1" x14ac:dyDescent="0.15"/>
    <row r="14237" hidden="1" x14ac:dyDescent="0.15"/>
    <row r="14238" hidden="1" x14ac:dyDescent="0.15"/>
    <row r="14239" hidden="1" x14ac:dyDescent="0.15"/>
    <row r="14240" hidden="1" x14ac:dyDescent="0.15"/>
    <row r="14241" hidden="1" x14ac:dyDescent="0.15"/>
    <row r="14242" hidden="1" x14ac:dyDescent="0.15"/>
    <row r="14243" hidden="1" x14ac:dyDescent="0.15"/>
    <row r="14244" hidden="1" x14ac:dyDescent="0.15"/>
    <row r="14245" hidden="1" x14ac:dyDescent="0.15"/>
    <row r="14246" hidden="1" x14ac:dyDescent="0.15"/>
    <row r="14247" hidden="1" x14ac:dyDescent="0.15"/>
    <row r="14248" hidden="1" x14ac:dyDescent="0.15"/>
    <row r="14249" hidden="1" x14ac:dyDescent="0.15"/>
    <row r="14250" hidden="1" x14ac:dyDescent="0.15"/>
    <row r="14251" hidden="1" x14ac:dyDescent="0.15"/>
    <row r="14252" hidden="1" x14ac:dyDescent="0.15"/>
    <row r="14253" hidden="1" x14ac:dyDescent="0.15"/>
    <row r="14254" hidden="1" x14ac:dyDescent="0.15"/>
    <row r="14255" hidden="1" x14ac:dyDescent="0.15"/>
    <row r="14256" hidden="1" x14ac:dyDescent="0.15"/>
    <row r="14257" hidden="1" x14ac:dyDescent="0.15"/>
    <row r="14258" hidden="1" x14ac:dyDescent="0.15"/>
    <row r="14259" hidden="1" x14ac:dyDescent="0.15"/>
    <row r="14260" hidden="1" x14ac:dyDescent="0.15"/>
    <row r="14261" hidden="1" x14ac:dyDescent="0.15"/>
    <row r="14262" hidden="1" x14ac:dyDescent="0.15"/>
    <row r="14263" hidden="1" x14ac:dyDescent="0.15"/>
    <row r="14264" hidden="1" x14ac:dyDescent="0.15"/>
    <row r="14265" hidden="1" x14ac:dyDescent="0.15"/>
    <row r="14266" hidden="1" x14ac:dyDescent="0.15"/>
    <row r="14267" hidden="1" x14ac:dyDescent="0.15"/>
    <row r="14268" hidden="1" x14ac:dyDescent="0.15"/>
    <row r="14269" hidden="1" x14ac:dyDescent="0.15"/>
    <row r="14270" hidden="1" x14ac:dyDescent="0.15"/>
    <row r="14271" hidden="1" x14ac:dyDescent="0.15"/>
    <row r="14272" hidden="1" x14ac:dyDescent="0.15"/>
    <row r="14273" hidden="1" x14ac:dyDescent="0.15"/>
    <row r="14274" hidden="1" x14ac:dyDescent="0.15"/>
    <row r="14275" hidden="1" x14ac:dyDescent="0.15"/>
    <row r="14276" hidden="1" x14ac:dyDescent="0.15"/>
    <row r="14277" hidden="1" x14ac:dyDescent="0.15"/>
    <row r="14278" hidden="1" x14ac:dyDescent="0.15"/>
    <row r="14279" hidden="1" x14ac:dyDescent="0.15"/>
    <row r="14280" hidden="1" x14ac:dyDescent="0.15"/>
    <row r="14281" hidden="1" x14ac:dyDescent="0.15"/>
    <row r="14282" hidden="1" x14ac:dyDescent="0.15"/>
    <row r="14283" hidden="1" x14ac:dyDescent="0.15"/>
    <row r="14284" hidden="1" x14ac:dyDescent="0.15"/>
    <row r="14285" hidden="1" x14ac:dyDescent="0.15"/>
    <row r="14286" hidden="1" x14ac:dyDescent="0.15"/>
    <row r="14287" hidden="1" x14ac:dyDescent="0.15"/>
    <row r="14288" hidden="1" x14ac:dyDescent="0.15"/>
    <row r="14289" hidden="1" x14ac:dyDescent="0.15"/>
    <row r="14290" hidden="1" x14ac:dyDescent="0.15"/>
    <row r="14291" hidden="1" x14ac:dyDescent="0.15"/>
    <row r="14292" hidden="1" x14ac:dyDescent="0.15"/>
    <row r="14293" hidden="1" x14ac:dyDescent="0.15"/>
    <row r="14294" hidden="1" x14ac:dyDescent="0.15"/>
    <row r="14295" hidden="1" x14ac:dyDescent="0.15"/>
    <row r="14296" hidden="1" x14ac:dyDescent="0.15"/>
    <row r="14297" hidden="1" x14ac:dyDescent="0.15"/>
    <row r="14298" hidden="1" x14ac:dyDescent="0.15"/>
    <row r="14299" hidden="1" x14ac:dyDescent="0.15"/>
    <row r="14300" hidden="1" x14ac:dyDescent="0.15"/>
    <row r="14301" hidden="1" x14ac:dyDescent="0.15"/>
    <row r="14302" hidden="1" x14ac:dyDescent="0.15"/>
    <row r="14303" hidden="1" x14ac:dyDescent="0.15"/>
    <row r="14304" hidden="1" x14ac:dyDescent="0.15"/>
    <row r="14305" hidden="1" x14ac:dyDescent="0.15"/>
    <row r="14306" hidden="1" x14ac:dyDescent="0.15"/>
    <row r="14307" hidden="1" x14ac:dyDescent="0.15"/>
    <row r="14308" hidden="1" x14ac:dyDescent="0.15"/>
    <row r="14309" hidden="1" x14ac:dyDescent="0.15"/>
    <row r="14310" hidden="1" x14ac:dyDescent="0.15"/>
    <row r="14311" hidden="1" x14ac:dyDescent="0.15"/>
    <row r="14312" hidden="1" x14ac:dyDescent="0.15"/>
    <row r="14313" hidden="1" x14ac:dyDescent="0.15"/>
    <row r="14314" hidden="1" x14ac:dyDescent="0.15"/>
    <row r="14315" hidden="1" x14ac:dyDescent="0.15"/>
    <row r="14316" hidden="1" x14ac:dyDescent="0.15"/>
    <row r="14317" hidden="1" x14ac:dyDescent="0.15"/>
    <row r="14318" hidden="1" x14ac:dyDescent="0.15"/>
    <row r="14319" hidden="1" x14ac:dyDescent="0.15"/>
    <row r="14320" hidden="1" x14ac:dyDescent="0.15"/>
    <row r="14321" hidden="1" x14ac:dyDescent="0.15"/>
    <row r="14322" hidden="1" x14ac:dyDescent="0.15"/>
    <row r="14323" hidden="1" x14ac:dyDescent="0.15"/>
    <row r="14324" hidden="1" x14ac:dyDescent="0.15"/>
    <row r="14325" hidden="1" x14ac:dyDescent="0.15"/>
    <row r="14326" hidden="1" x14ac:dyDescent="0.15"/>
    <row r="14327" hidden="1" x14ac:dyDescent="0.15"/>
    <row r="14328" hidden="1" x14ac:dyDescent="0.15"/>
    <row r="14329" hidden="1" x14ac:dyDescent="0.15"/>
    <row r="14330" hidden="1" x14ac:dyDescent="0.15"/>
    <row r="14331" hidden="1" x14ac:dyDescent="0.15"/>
    <row r="14332" hidden="1" x14ac:dyDescent="0.15"/>
    <row r="14333" hidden="1" x14ac:dyDescent="0.15"/>
    <row r="14334" hidden="1" x14ac:dyDescent="0.15"/>
    <row r="14335" hidden="1" x14ac:dyDescent="0.15"/>
    <row r="14336" hidden="1" x14ac:dyDescent="0.15"/>
    <row r="14337" hidden="1" x14ac:dyDescent="0.15"/>
    <row r="14338" hidden="1" x14ac:dyDescent="0.15"/>
    <row r="14339" hidden="1" x14ac:dyDescent="0.15"/>
    <row r="14340" hidden="1" x14ac:dyDescent="0.15"/>
    <row r="14341" hidden="1" x14ac:dyDescent="0.15"/>
    <row r="14342" hidden="1" x14ac:dyDescent="0.15"/>
    <row r="14343" hidden="1" x14ac:dyDescent="0.15"/>
    <row r="14344" hidden="1" x14ac:dyDescent="0.15"/>
    <row r="14345" hidden="1" x14ac:dyDescent="0.15"/>
    <row r="14346" hidden="1" x14ac:dyDescent="0.15"/>
    <row r="14347" hidden="1" x14ac:dyDescent="0.15"/>
    <row r="14348" hidden="1" x14ac:dyDescent="0.15"/>
    <row r="14349" hidden="1" x14ac:dyDescent="0.15"/>
    <row r="14350" hidden="1" x14ac:dyDescent="0.15"/>
    <row r="14351" hidden="1" x14ac:dyDescent="0.15"/>
    <row r="14352" hidden="1" x14ac:dyDescent="0.15"/>
    <row r="14353" hidden="1" x14ac:dyDescent="0.15"/>
    <row r="14354" hidden="1" x14ac:dyDescent="0.15"/>
    <row r="14355" hidden="1" x14ac:dyDescent="0.15"/>
    <row r="14356" hidden="1" x14ac:dyDescent="0.15"/>
    <row r="14357" hidden="1" x14ac:dyDescent="0.15"/>
    <row r="14358" hidden="1" x14ac:dyDescent="0.15"/>
    <row r="14359" hidden="1" x14ac:dyDescent="0.15"/>
    <row r="14360" hidden="1" x14ac:dyDescent="0.15"/>
    <row r="14361" hidden="1" x14ac:dyDescent="0.15"/>
    <row r="14362" hidden="1" x14ac:dyDescent="0.15"/>
    <row r="14363" hidden="1" x14ac:dyDescent="0.15"/>
    <row r="14364" hidden="1" x14ac:dyDescent="0.15"/>
    <row r="14365" hidden="1" x14ac:dyDescent="0.15"/>
    <row r="14366" hidden="1" x14ac:dyDescent="0.15"/>
    <row r="14367" hidden="1" x14ac:dyDescent="0.15"/>
    <row r="14368" hidden="1" x14ac:dyDescent="0.15"/>
    <row r="14369" hidden="1" x14ac:dyDescent="0.15"/>
    <row r="14370" hidden="1" x14ac:dyDescent="0.15"/>
    <row r="14371" hidden="1" x14ac:dyDescent="0.15"/>
    <row r="14372" hidden="1" x14ac:dyDescent="0.15"/>
    <row r="14373" hidden="1" x14ac:dyDescent="0.15"/>
    <row r="14374" hidden="1" x14ac:dyDescent="0.15"/>
    <row r="14375" hidden="1" x14ac:dyDescent="0.15"/>
    <row r="14376" hidden="1" x14ac:dyDescent="0.15"/>
    <row r="14377" hidden="1" x14ac:dyDescent="0.15"/>
    <row r="14378" hidden="1" x14ac:dyDescent="0.15"/>
    <row r="14379" hidden="1" x14ac:dyDescent="0.15"/>
    <row r="14380" hidden="1" x14ac:dyDescent="0.15"/>
    <row r="14381" hidden="1" x14ac:dyDescent="0.15"/>
    <row r="14382" hidden="1" x14ac:dyDescent="0.15"/>
    <row r="14383" hidden="1" x14ac:dyDescent="0.15"/>
    <row r="14384" hidden="1" x14ac:dyDescent="0.15"/>
    <row r="14385" hidden="1" x14ac:dyDescent="0.15"/>
    <row r="14386" hidden="1" x14ac:dyDescent="0.15"/>
    <row r="14387" hidden="1" x14ac:dyDescent="0.15"/>
    <row r="14388" hidden="1" x14ac:dyDescent="0.15"/>
    <row r="14389" hidden="1" x14ac:dyDescent="0.15"/>
    <row r="14390" hidden="1" x14ac:dyDescent="0.15"/>
    <row r="14391" hidden="1" x14ac:dyDescent="0.15"/>
    <row r="14392" hidden="1" x14ac:dyDescent="0.15"/>
    <row r="14393" hidden="1" x14ac:dyDescent="0.15"/>
    <row r="14394" hidden="1" x14ac:dyDescent="0.15"/>
    <row r="14395" hidden="1" x14ac:dyDescent="0.15"/>
    <row r="14396" hidden="1" x14ac:dyDescent="0.15"/>
    <row r="14397" hidden="1" x14ac:dyDescent="0.15"/>
    <row r="14398" hidden="1" x14ac:dyDescent="0.15"/>
    <row r="14399" hidden="1" x14ac:dyDescent="0.15"/>
    <row r="14400" hidden="1" x14ac:dyDescent="0.15"/>
    <row r="14401" hidden="1" x14ac:dyDescent="0.15"/>
    <row r="14402" hidden="1" x14ac:dyDescent="0.15"/>
    <row r="14403" hidden="1" x14ac:dyDescent="0.15"/>
    <row r="14404" hidden="1" x14ac:dyDescent="0.15"/>
    <row r="14405" hidden="1" x14ac:dyDescent="0.15"/>
    <row r="14406" hidden="1" x14ac:dyDescent="0.15"/>
    <row r="14407" hidden="1" x14ac:dyDescent="0.15"/>
    <row r="14408" hidden="1" x14ac:dyDescent="0.15"/>
    <row r="14409" hidden="1" x14ac:dyDescent="0.15"/>
    <row r="14410" hidden="1" x14ac:dyDescent="0.15"/>
    <row r="14411" hidden="1" x14ac:dyDescent="0.15"/>
    <row r="14412" hidden="1" x14ac:dyDescent="0.15"/>
    <row r="14413" hidden="1" x14ac:dyDescent="0.15"/>
    <row r="14414" hidden="1" x14ac:dyDescent="0.15"/>
    <row r="14415" hidden="1" x14ac:dyDescent="0.15"/>
    <row r="14416" hidden="1" x14ac:dyDescent="0.15"/>
    <row r="14417" hidden="1" x14ac:dyDescent="0.15"/>
    <row r="14418" hidden="1" x14ac:dyDescent="0.15"/>
    <row r="14419" hidden="1" x14ac:dyDescent="0.15"/>
    <row r="14420" hidden="1" x14ac:dyDescent="0.15"/>
    <row r="14421" hidden="1" x14ac:dyDescent="0.15"/>
    <row r="14422" hidden="1" x14ac:dyDescent="0.15"/>
    <row r="14423" hidden="1" x14ac:dyDescent="0.15"/>
    <row r="14424" hidden="1" x14ac:dyDescent="0.15"/>
    <row r="14425" hidden="1" x14ac:dyDescent="0.15"/>
    <row r="14426" hidden="1" x14ac:dyDescent="0.15"/>
    <row r="14427" hidden="1" x14ac:dyDescent="0.15"/>
    <row r="14428" hidden="1" x14ac:dyDescent="0.15"/>
    <row r="14429" hidden="1" x14ac:dyDescent="0.15"/>
    <row r="14430" hidden="1" x14ac:dyDescent="0.15"/>
    <row r="14431" hidden="1" x14ac:dyDescent="0.15"/>
    <row r="14432" hidden="1" x14ac:dyDescent="0.15"/>
    <row r="14433" hidden="1" x14ac:dyDescent="0.15"/>
    <row r="14434" hidden="1" x14ac:dyDescent="0.15"/>
    <row r="14435" hidden="1" x14ac:dyDescent="0.15"/>
    <row r="14436" hidden="1" x14ac:dyDescent="0.15"/>
    <row r="14437" hidden="1" x14ac:dyDescent="0.15"/>
    <row r="14438" hidden="1" x14ac:dyDescent="0.15"/>
    <row r="14439" hidden="1" x14ac:dyDescent="0.15"/>
    <row r="14440" hidden="1" x14ac:dyDescent="0.15"/>
    <row r="14441" hidden="1" x14ac:dyDescent="0.15"/>
    <row r="14442" hidden="1" x14ac:dyDescent="0.15"/>
    <row r="14443" hidden="1" x14ac:dyDescent="0.15"/>
    <row r="14444" hidden="1" x14ac:dyDescent="0.15"/>
    <row r="14445" hidden="1" x14ac:dyDescent="0.15"/>
    <row r="14446" hidden="1" x14ac:dyDescent="0.15"/>
    <row r="14447" hidden="1" x14ac:dyDescent="0.15"/>
    <row r="14448" hidden="1" x14ac:dyDescent="0.15"/>
    <row r="14449" hidden="1" x14ac:dyDescent="0.15"/>
    <row r="14450" hidden="1" x14ac:dyDescent="0.15"/>
    <row r="14451" hidden="1" x14ac:dyDescent="0.15"/>
    <row r="14452" hidden="1" x14ac:dyDescent="0.15"/>
    <row r="14453" hidden="1" x14ac:dyDescent="0.15"/>
    <row r="14454" hidden="1" x14ac:dyDescent="0.15"/>
    <row r="14455" hidden="1" x14ac:dyDescent="0.15"/>
    <row r="14456" hidden="1" x14ac:dyDescent="0.15"/>
    <row r="14457" hidden="1" x14ac:dyDescent="0.15"/>
    <row r="14458" hidden="1" x14ac:dyDescent="0.15"/>
    <row r="14459" hidden="1" x14ac:dyDescent="0.15"/>
    <row r="14460" hidden="1" x14ac:dyDescent="0.15"/>
    <row r="14461" hidden="1" x14ac:dyDescent="0.15"/>
    <row r="14462" hidden="1" x14ac:dyDescent="0.15"/>
    <row r="14463" hidden="1" x14ac:dyDescent="0.15"/>
    <row r="14464" hidden="1" x14ac:dyDescent="0.15"/>
    <row r="14465" hidden="1" x14ac:dyDescent="0.15"/>
    <row r="14466" hidden="1" x14ac:dyDescent="0.15"/>
    <row r="14467" hidden="1" x14ac:dyDescent="0.15"/>
    <row r="14468" hidden="1" x14ac:dyDescent="0.15"/>
    <row r="14469" hidden="1" x14ac:dyDescent="0.15"/>
    <row r="14470" hidden="1" x14ac:dyDescent="0.15"/>
    <row r="14471" hidden="1" x14ac:dyDescent="0.15"/>
    <row r="14472" hidden="1" x14ac:dyDescent="0.15"/>
    <row r="14473" hidden="1" x14ac:dyDescent="0.15"/>
    <row r="14474" hidden="1" x14ac:dyDescent="0.15"/>
    <row r="14475" hidden="1" x14ac:dyDescent="0.15"/>
    <row r="14476" hidden="1" x14ac:dyDescent="0.15"/>
    <row r="14477" hidden="1" x14ac:dyDescent="0.15"/>
    <row r="14478" hidden="1" x14ac:dyDescent="0.15"/>
    <row r="14479" hidden="1" x14ac:dyDescent="0.15"/>
    <row r="14480" hidden="1" x14ac:dyDescent="0.15"/>
    <row r="14481" hidden="1" x14ac:dyDescent="0.15"/>
    <row r="14482" hidden="1" x14ac:dyDescent="0.15"/>
    <row r="14483" hidden="1" x14ac:dyDescent="0.15"/>
    <row r="14484" hidden="1" x14ac:dyDescent="0.15"/>
    <row r="14485" hidden="1" x14ac:dyDescent="0.15"/>
    <row r="14486" hidden="1" x14ac:dyDescent="0.15"/>
    <row r="14487" hidden="1" x14ac:dyDescent="0.15"/>
    <row r="14488" hidden="1" x14ac:dyDescent="0.15"/>
    <row r="14489" hidden="1" x14ac:dyDescent="0.15"/>
    <row r="14490" hidden="1" x14ac:dyDescent="0.15"/>
    <row r="14491" hidden="1" x14ac:dyDescent="0.15"/>
    <row r="14492" hidden="1" x14ac:dyDescent="0.15"/>
    <row r="14493" hidden="1" x14ac:dyDescent="0.15"/>
    <row r="14494" hidden="1" x14ac:dyDescent="0.15"/>
    <row r="14495" hidden="1" x14ac:dyDescent="0.15"/>
    <row r="14496" hidden="1" x14ac:dyDescent="0.15"/>
    <row r="14497" hidden="1" x14ac:dyDescent="0.15"/>
    <row r="14498" hidden="1" x14ac:dyDescent="0.15"/>
    <row r="14499" hidden="1" x14ac:dyDescent="0.15"/>
    <row r="14500" hidden="1" x14ac:dyDescent="0.15"/>
    <row r="14501" hidden="1" x14ac:dyDescent="0.15"/>
    <row r="14502" hidden="1" x14ac:dyDescent="0.15"/>
    <row r="14503" hidden="1" x14ac:dyDescent="0.15"/>
    <row r="14504" hidden="1" x14ac:dyDescent="0.15"/>
    <row r="14505" hidden="1" x14ac:dyDescent="0.15"/>
    <row r="14506" hidden="1" x14ac:dyDescent="0.15"/>
    <row r="14507" hidden="1" x14ac:dyDescent="0.15"/>
    <row r="14508" hidden="1" x14ac:dyDescent="0.15"/>
    <row r="14509" hidden="1" x14ac:dyDescent="0.15"/>
    <row r="14510" hidden="1" x14ac:dyDescent="0.15"/>
    <row r="14511" hidden="1" x14ac:dyDescent="0.15"/>
    <row r="14512" hidden="1" x14ac:dyDescent="0.15"/>
    <row r="14513" hidden="1" x14ac:dyDescent="0.15"/>
    <row r="14514" hidden="1" x14ac:dyDescent="0.15"/>
    <row r="14515" hidden="1" x14ac:dyDescent="0.15"/>
    <row r="14516" hidden="1" x14ac:dyDescent="0.15"/>
    <row r="14517" hidden="1" x14ac:dyDescent="0.15"/>
    <row r="14518" hidden="1" x14ac:dyDescent="0.15"/>
    <row r="14519" hidden="1" x14ac:dyDescent="0.15"/>
    <row r="14520" hidden="1" x14ac:dyDescent="0.15"/>
    <row r="14521" hidden="1" x14ac:dyDescent="0.15"/>
    <row r="14522" hidden="1" x14ac:dyDescent="0.15"/>
    <row r="14523" hidden="1" x14ac:dyDescent="0.15"/>
    <row r="14524" hidden="1" x14ac:dyDescent="0.15"/>
    <row r="14525" hidden="1" x14ac:dyDescent="0.15"/>
    <row r="14526" hidden="1" x14ac:dyDescent="0.15"/>
    <row r="14527" hidden="1" x14ac:dyDescent="0.15"/>
    <row r="14528" hidden="1" x14ac:dyDescent="0.15"/>
    <row r="14529" hidden="1" x14ac:dyDescent="0.15"/>
    <row r="14530" hidden="1" x14ac:dyDescent="0.15"/>
    <row r="14531" hidden="1" x14ac:dyDescent="0.15"/>
    <row r="14532" hidden="1" x14ac:dyDescent="0.15"/>
    <row r="14533" hidden="1" x14ac:dyDescent="0.15"/>
    <row r="14534" hidden="1" x14ac:dyDescent="0.15"/>
    <row r="14535" hidden="1" x14ac:dyDescent="0.15"/>
    <row r="14536" hidden="1" x14ac:dyDescent="0.15"/>
    <row r="14537" hidden="1" x14ac:dyDescent="0.15"/>
    <row r="14538" hidden="1" x14ac:dyDescent="0.15"/>
    <row r="14539" hidden="1" x14ac:dyDescent="0.15"/>
    <row r="14540" hidden="1" x14ac:dyDescent="0.15"/>
    <row r="14541" hidden="1" x14ac:dyDescent="0.15"/>
    <row r="14542" hidden="1" x14ac:dyDescent="0.15"/>
    <row r="14543" hidden="1" x14ac:dyDescent="0.15"/>
    <row r="14544" hidden="1" x14ac:dyDescent="0.15"/>
    <row r="14545" hidden="1" x14ac:dyDescent="0.15"/>
    <row r="14546" hidden="1" x14ac:dyDescent="0.15"/>
    <row r="14547" hidden="1" x14ac:dyDescent="0.15"/>
    <row r="14548" hidden="1" x14ac:dyDescent="0.15"/>
    <row r="14549" hidden="1" x14ac:dyDescent="0.15"/>
    <row r="14550" hidden="1" x14ac:dyDescent="0.15"/>
    <row r="14551" hidden="1" x14ac:dyDescent="0.15"/>
    <row r="14552" hidden="1" x14ac:dyDescent="0.15"/>
    <row r="14553" hidden="1" x14ac:dyDescent="0.15"/>
    <row r="14554" hidden="1" x14ac:dyDescent="0.15"/>
    <row r="14555" hidden="1" x14ac:dyDescent="0.15"/>
    <row r="14556" hidden="1" x14ac:dyDescent="0.15"/>
    <row r="14557" hidden="1" x14ac:dyDescent="0.15"/>
    <row r="14558" hidden="1" x14ac:dyDescent="0.15"/>
    <row r="14559" hidden="1" x14ac:dyDescent="0.15"/>
    <row r="14560" hidden="1" x14ac:dyDescent="0.15"/>
    <row r="14561" hidden="1" x14ac:dyDescent="0.15"/>
    <row r="14562" hidden="1" x14ac:dyDescent="0.15"/>
    <row r="14563" hidden="1" x14ac:dyDescent="0.15"/>
    <row r="14564" hidden="1" x14ac:dyDescent="0.15"/>
    <row r="14565" hidden="1" x14ac:dyDescent="0.15"/>
    <row r="14566" hidden="1" x14ac:dyDescent="0.15"/>
    <row r="14567" hidden="1" x14ac:dyDescent="0.15"/>
    <row r="14568" hidden="1" x14ac:dyDescent="0.15"/>
    <row r="14569" hidden="1" x14ac:dyDescent="0.15"/>
    <row r="14570" hidden="1" x14ac:dyDescent="0.15"/>
    <row r="14571" hidden="1" x14ac:dyDescent="0.15"/>
    <row r="14572" hidden="1" x14ac:dyDescent="0.15"/>
    <row r="14573" hidden="1" x14ac:dyDescent="0.15"/>
    <row r="14574" hidden="1" x14ac:dyDescent="0.15"/>
    <row r="14575" hidden="1" x14ac:dyDescent="0.15"/>
    <row r="14576" hidden="1" x14ac:dyDescent="0.15"/>
    <row r="14577" hidden="1" x14ac:dyDescent="0.15"/>
    <row r="14578" hidden="1" x14ac:dyDescent="0.15"/>
    <row r="14579" hidden="1" x14ac:dyDescent="0.15"/>
    <row r="14580" hidden="1" x14ac:dyDescent="0.15"/>
    <row r="14581" hidden="1" x14ac:dyDescent="0.15"/>
    <row r="14582" hidden="1" x14ac:dyDescent="0.15"/>
    <row r="14583" hidden="1" x14ac:dyDescent="0.15"/>
    <row r="14584" hidden="1" x14ac:dyDescent="0.15"/>
    <row r="14585" hidden="1" x14ac:dyDescent="0.15"/>
    <row r="14586" hidden="1" x14ac:dyDescent="0.15"/>
    <row r="14587" hidden="1" x14ac:dyDescent="0.15"/>
    <row r="14588" hidden="1" x14ac:dyDescent="0.15"/>
    <row r="14589" hidden="1" x14ac:dyDescent="0.15"/>
    <row r="14590" hidden="1" x14ac:dyDescent="0.15"/>
    <row r="14591" hidden="1" x14ac:dyDescent="0.15"/>
    <row r="14592" hidden="1" x14ac:dyDescent="0.15"/>
    <row r="14593" hidden="1" x14ac:dyDescent="0.15"/>
    <row r="14594" hidden="1" x14ac:dyDescent="0.15"/>
    <row r="14595" hidden="1" x14ac:dyDescent="0.15"/>
    <row r="14596" hidden="1" x14ac:dyDescent="0.15"/>
    <row r="14597" hidden="1" x14ac:dyDescent="0.15"/>
    <row r="14598" hidden="1" x14ac:dyDescent="0.15"/>
    <row r="14599" hidden="1" x14ac:dyDescent="0.15"/>
    <row r="14600" hidden="1" x14ac:dyDescent="0.15"/>
    <row r="14601" hidden="1" x14ac:dyDescent="0.15"/>
    <row r="14602" hidden="1" x14ac:dyDescent="0.15"/>
    <row r="14603" hidden="1" x14ac:dyDescent="0.15"/>
    <row r="14604" hidden="1" x14ac:dyDescent="0.15"/>
    <row r="14605" hidden="1" x14ac:dyDescent="0.15"/>
    <row r="14606" hidden="1" x14ac:dyDescent="0.15"/>
    <row r="14607" hidden="1" x14ac:dyDescent="0.15"/>
    <row r="14608" hidden="1" x14ac:dyDescent="0.15"/>
    <row r="14609" hidden="1" x14ac:dyDescent="0.15"/>
    <row r="14610" hidden="1" x14ac:dyDescent="0.15"/>
    <row r="14611" hidden="1" x14ac:dyDescent="0.15"/>
    <row r="14612" hidden="1" x14ac:dyDescent="0.15"/>
    <row r="14613" hidden="1" x14ac:dyDescent="0.15"/>
    <row r="14614" hidden="1" x14ac:dyDescent="0.15"/>
    <row r="14615" hidden="1" x14ac:dyDescent="0.15"/>
    <row r="14616" hidden="1" x14ac:dyDescent="0.15"/>
    <row r="14617" hidden="1" x14ac:dyDescent="0.15"/>
    <row r="14618" hidden="1" x14ac:dyDescent="0.15"/>
    <row r="14619" hidden="1" x14ac:dyDescent="0.15"/>
    <row r="14620" hidden="1" x14ac:dyDescent="0.15"/>
    <row r="14621" hidden="1" x14ac:dyDescent="0.15"/>
    <row r="14622" hidden="1" x14ac:dyDescent="0.15"/>
    <row r="14623" hidden="1" x14ac:dyDescent="0.15"/>
    <row r="14624" hidden="1" x14ac:dyDescent="0.15"/>
    <row r="14625" hidden="1" x14ac:dyDescent="0.15"/>
    <row r="14626" hidden="1" x14ac:dyDescent="0.15"/>
    <row r="14627" hidden="1" x14ac:dyDescent="0.15"/>
    <row r="14628" hidden="1" x14ac:dyDescent="0.15"/>
    <row r="14629" hidden="1" x14ac:dyDescent="0.15"/>
    <row r="14630" hidden="1" x14ac:dyDescent="0.15"/>
    <row r="14631" hidden="1" x14ac:dyDescent="0.15"/>
    <row r="14632" hidden="1" x14ac:dyDescent="0.15"/>
    <row r="14633" hidden="1" x14ac:dyDescent="0.15"/>
    <row r="14634" hidden="1" x14ac:dyDescent="0.15"/>
    <row r="14635" hidden="1" x14ac:dyDescent="0.15"/>
    <row r="14636" hidden="1" x14ac:dyDescent="0.15"/>
    <row r="14637" hidden="1" x14ac:dyDescent="0.15"/>
    <row r="14638" hidden="1" x14ac:dyDescent="0.15"/>
    <row r="14639" hidden="1" x14ac:dyDescent="0.15"/>
    <row r="14640" hidden="1" x14ac:dyDescent="0.15"/>
    <row r="14641" hidden="1" x14ac:dyDescent="0.15"/>
    <row r="14642" hidden="1" x14ac:dyDescent="0.15"/>
    <row r="14643" hidden="1" x14ac:dyDescent="0.15"/>
    <row r="14644" hidden="1" x14ac:dyDescent="0.15"/>
    <row r="14645" hidden="1" x14ac:dyDescent="0.15"/>
    <row r="14646" hidden="1" x14ac:dyDescent="0.15"/>
    <row r="14647" hidden="1" x14ac:dyDescent="0.15"/>
    <row r="14648" hidden="1" x14ac:dyDescent="0.15"/>
    <row r="14649" hidden="1" x14ac:dyDescent="0.15"/>
    <row r="14650" hidden="1" x14ac:dyDescent="0.15"/>
    <row r="14651" hidden="1" x14ac:dyDescent="0.15"/>
    <row r="14652" hidden="1" x14ac:dyDescent="0.15"/>
    <row r="14653" hidden="1" x14ac:dyDescent="0.15"/>
    <row r="14654" hidden="1" x14ac:dyDescent="0.15"/>
    <row r="14655" hidden="1" x14ac:dyDescent="0.15"/>
    <row r="14656" hidden="1" x14ac:dyDescent="0.15"/>
    <row r="14657" hidden="1" x14ac:dyDescent="0.15"/>
    <row r="14658" hidden="1" x14ac:dyDescent="0.15"/>
    <row r="14659" hidden="1" x14ac:dyDescent="0.15"/>
    <row r="14660" hidden="1" x14ac:dyDescent="0.15"/>
    <row r="14661" hidden="1" x14ac:dyDescent="0.15"/>
    <row r="14662" hidden="1" x14ac:dyDescent="0.15"/>
    <row r="14663" hidden="1" x14ac:dyDescent="0.15"/>
    <row r="14664" hidden="1" x14ac:dyDescent="0.15"/>
    <row r="14665" hidden="1" x14ac:dyDescent="0.15"/>
    <row r="14666" hidden="1" x14ac:dyDescent="0.15"/>
    <row r="14667" hidden="1" x14ac:dyDescent="0.15"/>
    <row r="14668" hidden="1" x14ac:dyDescent="0.15"/>
    <row r="14669" hidden="1" x14ac:dyDescent="0.15"/>
    <row r="14670" hidden="1" x14ac:dyDescent="0.15"/>
    <row r="14671" hidden="1" x14ac:dyDescent="0.15"/>
    <row r="14672" hidden="1" x14ac:dyDescent="0.15"/>
    <row r="14673" hidden="1" x14ac:dyDescent="0.15"/>
    <row r="14674" hidden="1" x14ac:dyDescent="0.15"/>
    <row r="14675" hidden="1" x14ac:dyDescent="0.15"/>
    <row r="14676" hidden="1" x14ac:dyDescent="0.15"/>
    <row r="14677" hidden="1" x14ac:dyDescent="0.15"/>
    <row r="14678" hidden="1" x14ac:dyDescent="0.15"/>
    <row r="14679" hidden="1" x14ac:dyDescent="0.15"/>
    <row r="14680" hidden="1" x14ac:dyDescent="0.15"/>
    <row r="14681" hidden="1" x14ac:dyDescent="0.15"/>
    <row r="14682" hidden="1" x14ac:dyDescent="0.15"/>
    <row r="14683" hidden="1" x14ac:dyDescent="0.15"/>
    <row r="14684" hidden="1" x14ac:dyDescent="0.15"/>
    <row r="14685" hidden="1" x14ac:dyDescent="0.15"/>
    <row r="14686" hidden="1" x14ac:dyDescent="0.15"/>
    <row r="14687" hidden="1" x14ac:dyDescent="0.15"/>
    <row r="14688" hidden="1" x14ac:dyDescent="0.15"/>
    <row r="14689" hidden="1" x14ac:dyDescent="0.15"/>
    <row r="14690" hidden="1" x14ac:dyDescent="0.15"/>
    <row r="14691" hidden="1" x14ac:dyDescent="0.15"/>
    <row r="14692" hidden="1" x14ac:dyDescent="0.15"/>
    <row r="14693" hidden="1" x14ac:dyDescent="0.15"/>
    <row r="14694" hidden="1" x14ac:dyDescent="0.15"/>
    <row r="14695" hidden="1" x14ac:dyDescent="0.15"/>
    <row r="14696" hidden="1" x14ac:dyDescent="0.15"/>
    <row r="14697" hidden="1" x14ac:dyDescent="0.15"/>
    <row r="14698" hidden="1" x14ac:dyDescent="0.15"/>
    <row r="14699" hidden="1" x14ac:dyDescent="0.15"/>
    <row r="14700" hidden="1" x14ac:dyDescent="0.15"/>
    <row r="14701" hidden="1" x14ac:dyDescent="0.15"/>
    <row r="14702" hidden="1" x14ac:dyDescent="0.15"/>
    <row r="14703" hidden="1" x14ac:dyDescent="0.15"/>
    <row r="14704" hidden="1" x14ac:dyDescent="0.15"/>
    <row r="14705" hidden="1" x14ac:dyDescent="0.15"/>
    <row r="14706" hidden="1" x14ac:dyDescent="0.15"/>
    <row r="14707" hidden="1" x14ac:dyDescent="0.15"/>
    <row r="14708" hidden="1" x14ac:dyDescent="0.15"/>
    <row r="14709" hidden="1" x14ac:dyDescent="0.15"/>
    <row r="14710" hidden="1" x14ac:dyDescent="0.15"/>
    <row r="14711" hidden="1" x14ac:dyDescent="0.15"/>
    <row r="14712" hidden="1" x14ac:dyDescent="0.15"/>
    <row r="14713" hidden="1" x14ac:dyDescent="0.15"/>
    <row r="14714" hidden="1" x14ac:dyDescent="0.15"/>
    <row r="14715" hidden="1" x14ac:dyDescent="0.15"/>
    <row r="14716" hidden="1" x14ac:dyDescent="0.15"/>
    <row r="14717" hidden="1" x14ac:dyDescent="0.15"/>
    <row r="14718" hidden="1" x14ac:dyDescent="0.15"/>
    <row r="14719" hidden="1" x14ac:dyDescent="0.15"/>
    <row r="14720" hidden="1" x14ac:dyDescent="0.15"/>
    <row r="14721" hidden="1" x14ac:dyDescent="0.15"/>
    <row r="14722" hidden="1" x14ac:dyDescent="0.15"/>
    <row r="14723" hidden="1" x14ac:dyDescent="0.15"/>
    <row r="14724" hidden="1" x14ac:dyDescent="0.15"/>
    <row r="14725" hidden="1" x14ac:dyDescent="0.15"/>
    <row r="14726" hidden="1" x14ac:dyDescent="0.15"/>
    <row r="14727" hidden="1" x14ac:dyDescent="0.15"/>
    <row r="14728" hidden="1" x14ac:dyDescent="0.15"/>
    <row r="14729" hidden="1" x14ac:dyDescent="0.15"/>
    <row r="14730" hidden="1" x14ac:dyDescent="0.15"/>
    <row r="14731" hidden="1" x14ac:dyDescent="0.15"/>
    <row r="14732" hidden="1" x14ac:dyDescent="0.15"/>
    <row r="14733" hidden="1" x14ac:dyDescent="0.15"/>
    <row r="14734" hidden="1" x14ac:dyDescent="0.15"/>
    <row r="14735" hidden="1" x14ac:dyDescent="0.15"/>
    <row r="14736" hidden="1" x14ac:dyDescent="0.15"/>
    <row r="14737" hidden="1" x14ac:dyDescent="0.15"/>
    <row r="14738" hidden="1" x14ac:dyDescent="0.15"/>
    <row r="14739" hidden="1" x14ac:dyDescent="0.15"/>
    <row r="14740" hidden="1" x14ac:dyDescent="0.15"/>
    <row r="14741" hidden="1" x14ac:dyDescent="0.15"/>
    <row r="14742" hidden="1" x14ac:dyDescent="0.15"/>
    <row r="14743" hidden="1" x14ac:dyDescent="0.15"/>
    <row r="14744" hidden="1" x14ac:dyDescent="0.15"/>
    <row r="14745" hidden="1" x14ac:dyDescent="0.15"/>
    <row r="14746" hidden="1" x14ac:dyDescent="0.15"/>
    <row r="14747" hidden="1" x14ac:dyDescent="0.15"/>
    <row r="14748" hidden="1" x14ac:dyDescent="0.15"/>
    <row r="14749" hidden="1" x14ac:dyDescent="0.15"/>
    <row r="14750" hidden="1" x14ac:dyDescent="0.15"/>
    <row r="14751" hidden="1" x14ac:dyDescent="0.15"/>
    <row r="14752" hidden="1" x14ac:dyDescent="0.15"/>
    <row r="14753" hidden="1" x14ac:dyDescent="0.15"/>
    <row r="14754" hidden="1" x14ac:dyDescent="0.15"/>
    <row r="14755" hidden="1" x14ac:dyDescent="0.15"/>
    <row r="14756" hidden="1" x14ac:dyDescent="0.15"/>
    <row r="14757" hidden="1" x14ac:dyDescent="0.15"/>
    <row r="14758" hidden="1" x14ac:dyDescent="0.15"/>
    <row r="14759" hidden="1" x14ac:dyDescent="0.15"/>
    <row r="14760" hidden="1" x14ac:dyDescent="0.15"/>
    <row r="14761" hidden="1" x14ac:dyDescent="0.15"/>
    <row r="14762" hidden="1" x14ac:dyDescent="0.15"/>
    <row r="14763" hidden="1" x14ac:dyDescent="0.15"/>
    <row r="14764" hidden="1" x14ac:dyDescent="0.15"/>
    <row r="14765" hidden="1" x14ac:dyDescent="0.15"/>
    <row r="14766" hidden="1" x14ac:dyDescent="0.15"/>
    <row r="14767" hidden="1" x14ac:dyDescent="0.15"/>
    <row r="14768" hidden="1" x14ac:dyDescent="0.15"/>
    <row r="14769" hidden="1" x14ac:dyDescent="0.15"/>
    <row r="14770" hidden="1" x14ac:dyDescent="0.15"/>
    <row r="14771" hidden="1" x14ac:dyDescent="0.15"/>
    <row r="14772" hidden="1" x14ac:dyDescent="0.15"/>
    <row r="14773" hidden="1" x14ac:dyDescent="0.15"/>
    <row r="14774" hidden="1" x14ac:dyDescent="0.15"/>
    <row r="14775" hidden="1" x14ac:dyDescent="0.15"/>
    <row r="14776" hidden="1" x14ac:dyDescent="0.15"/>
    <row r="14777" hidden="1" x14ac:dyDescent="0.15"/>
    <row r="14778" hidden="1" x14ac:dyDescent="0.15"/>
    <row r="14779" hidden="1" x14ac:dyDescent="0.15"/>
    <row r="14780" hidden="1" x14ac:dyDescent="0.15"/>
    <row r="14781" hidden="1" x14ac:dyDescent="0.15"/>
    <row r="14782" hidden="1" x14ac:dyDescent="0.15"/>
    <row r="14783" hidden="1" x14ac:dyDescent="0.15"/>
    <row r="14784" hidden="1" x14ac:dyDescent="0.15"/>
    <row r="14785" hidden="1" x14ac:dyDescent="0.15"/>
    <row r="14786" hidden="1" x14ac:dyDescent="0.15"/>
    <row r="14787" hidden="1" x14ac:dyDescent="0.15"/>
    <row r="14788" hidden="1" x14ac:dyDescent="0.15"/>
    <row r="14789" hidden="1" x14ac:dyDescent="0.15"/>
    <row r="14790" hidden="1" x14ac:dyDescent="0.15"/>
    <row r="14791" hidden="1" x14ac:dyDescent="0.15"/>
    <row r="14792" hidden="1" x14ac:dyDescent="0.15"/>
    <row r="14793" hidden="1" x14ac:dyDescent="0.15"/>
    <row r="14794" hidden="1" x14ac:dyDescent="0.15"/>
    <row r="14795" hidden="1" x14ac:dyDescent="0.15"/>
    <row r="14796" hidden="1" x14ac:dyDescent="0.15"/>
    <row r="14797" hidden="1" x14ac:dyDescent="0.15"/>
    <row r="14798" hidden="1" x14ac:dyDescent="0.15"/>
    <row r="14799" hidden="1" x14ac:dyDescent="0.15"/>
    <row r="14800" hidden="1" x14ac:dyDescent="0.15"/>
    <row r="14801" hidden="1" x14ac:dyDescent="0.15"/>
    <row r="14802" hidden="1" x14ac:dyDescent="0.15"/>
    <row r="14803" hidden="1" x14ac:dyDescent="0.15"/>
    <row r="14804" hidden="1" x14ac:dyDescent="0.15"/>
    <row r="14805" hidden="1" x14ac:dyDescent="0.15"/>
    <row r="14806" hidden="1" x14ac:dyDescent="0.15"/>
    <row r="14807" hidden="1" x14ac:dyDescent="0.15"/>
    <row r="14808" hidden="1" x14ac:dyDescent="0.15"/>
    <row r="14809" hidden="1" x14ac:dyDescent="0.15"/>
    <row r="14810" hidden="1" x14ac:dyDescent="0.15"/>
    <row r="14811" hidden="1" x14ac:dyDescent="0.15"/>
    <row r="14812" hidden="1" x14ac:dyDescent="0.15"/>
    <row r="14813" hidden="1" x14ac:dyDescent="0.15"/>
    <row r="14814" hidden="1" x14ac:dyDescent="0.15"/>
    <row r="14815" hidden="1" x14ac:dyDescent="0.15"/>
    <row r="14816" hidden="1" x14ac:dyDescent="0.15"/>
    <row r="14817" hidden="1" x14ac:dyDescent="0.15"/>
    <row r="14818" hidden="1" x14ac:dyDescent="0.15"/>
    <row r="14819" hidden="1" x14ac:dyDescent="0.15"/>
    <row r="14820" hidden="1" x14ac:dyDescent="0.15"/>
    <row r="14821" hidden="1" x14ac:dyDescent="0.15"/>
    <row r="14822" hidden="1" x14ac:dyDescent="0.15"/>
    <row r="14823" hidden="1" x14ac:dyDescent="0.15"/>
    <row r="14824" hidden="1" x14ac:dyDescent="0.15"/>
    <row r="14825" hidden="1" x14ac:dyDescent="0.15"/>
    <row r="14826" hidden="1" x14ac:dyDescent="0.15"/>
    <row r="14827" hidden="1" x14ac:dyDescent="0.15"/>
    <row r="14828" hidden="1" x14ac:dyDescent="0.15"/>
    <row r="14829" hidden="1" x14ac:dyDescent="0.15"/>
    <row r="14830" hidden="1" x14ac:dyDescent="0.15"/>
    <row r="14831" hidden="1" x14ac:dyDescent="0.15"/>
    <row r="14832" hidden="1" x14ac:dyDescent="0.15"/>
    <row r="14833" hidden="1" x14ac:dyDescent="0.15"/>
    <row r="14834" hidden="1" x14ac:dyDescent="0.15"/>
    <row r="14835" hidden="1" x14ac:dyDescent="0.15"/>
    <row r="14836" hidden="1" x14ac:dyDescent="0.15"/>
    <row r="14837" hidden="1" x14ac:dyDescent="0.15"/>
    <row r="14838" hidden="1" x14ac:dyDescent="0.15"/>
    <row r="14839" hidden="1" x14ac:dyDescent="0.15"/>
    <row r="14840" hidden="1" x14ac:dyDescent="0.15"/>
    <row r="14841" hidden="1" x14ac:dyDescent="0.15"/>
    <row r="14842" hidden="1" x14ac:dyDescent="0.15"/>
    <row r="14843" hidden="1" x14ac:dyDescent="0.15"/>
    <row r="14844" hidden="1" x14ac:dyDescent="0.15"/>
    <row r="14845" hidden="1" x14ac:dyDescent="0.15"/>
    <row r="14846" hidden="1" x14ac:dyDescent="0.15"/>
    <row r="14847" hidden="1" x14ac:dyDescent="0.15"/>
    <row r="14848" hidden="1" x14ac:dyDescent="0.15"/>
    <row r="14849" hidden="1" x14ac:dyDescent="0.15"/>
    <row r="14850" hidden="1" x14ac:dyDescent="0.15"/>
    <row r="14851" hidden="1" x14ac:dyDescent="0.15"/>
    <row r="14852" hidden="1" x14ac:dyDescent="0.15"/>
    <row r="14853" hidden="1" x14ac:dyDescent="0.15"/>
    <row r="14854" hidden="1" x14ac:dyDescent="0.15"/>
    <row r="14855" hidden="1" x14ac:dyDescent="0.15"/>
    <row r="14856" hidden="1" x14ac:dyDescent="0.15"/>
    <row r="14857" hidden="1" x14ac:dyDescent="0.15"/>
    <row r="14858" hidden="1" x14ac:dyDescent="0.15"/>
    <row r="14859" hidden="1" x14ac:dyDescent="0.15"/>
    <row r="14860" hidden="1" x14ac:dyDescent="0.15"/>
    <row r="14861" hidden="1" x14ac:dyDescent="0.15"/>
    <row r="14862" hidden="1" x14ac:dyDescent="0.15"/>
    <row r="14863" hidden="1" x14ac:dyDescent="0.15"/>
    <row r="14864" hidden="1" x14ac:dyDescent="0.15"/>
    <row r="14865" hidden="1" x14ac:dyDescent="0.15"/>
    <row r="14866" hidden="1" x14ac:dyDescent="0.15"/>
    <row r="14867" hidden="1" x14ac:dyDescent="0.15"/>
    <row r="14868" hidden="1" x14ac:dyDescent="0.15"/>
    <row r="14869" hidden="1" x14ac:dyDescent="0.15"/>
    <row r="14870" hidden="1" x14ac:dyDescent="0.15"/>
    <row r="14871" hidden="1" x14ac:dyDescent="0.15"/>
    <row r="14872" hidden="1" x14ac:dyDescent="0.15"/>
    <row r="14873" hidden="1" x14ac:dyDescent="0.15"/>
    <row r="14874" hidden="1" x14ac:dyDescent="0.15"/>
    <row r="14875" hidden="1" x14ac:dyDescent="0.15"/>
    <row r="14876" hidden="1" x14ac:dyDescent="0.15"/>
    <row r="14877" hidden="1" x14ac:dyDescent="0.15"/>
    <row r="14878" hidden="1" x14ac:dyDescent="0.15"/>
    <row r="14879" hidden="1" x14ac:dyDescent="0.15"/>
    <row r="14880" hidden="1" x14ac:dyDescent="0.15"/>
    <row r="14881" hidden="1" x14ac:dyDescent="0.15"/>
    <row r="14882" hidden="1" x14ac:dyDescent="0.15"/>
    <row r="14883" hidden="1" x14ac:dyDescent="0.15"/>
    <row r="14884" hidden="1" x14ac:dyDescent="0.15"/>
    <row r="14885" hidden="1" x14ac:dyDescent="0.15"/>
    <row r="14886" hidden="1" x14ac:dyDescent="0.15"/>
    <row r="14887" hidden="1" x14ac:dyDescent="0.15"/>
    <row r="14888" hidden="1" x14ac:dyDescent="0.15"/>
    <row r="14889" hidden="1" x14ac:dyDescent="0.15"/>
    <row r="14890" hidden="1" x14ac:dyDescent="0.15"/>
    <row r="14891" hidden="1" x14ac:dyDescent="0.15"/>
    <row r="14892" hidden="1" x14ac:dyDescent="0.15"/>
    <row r="14893" hidden="1" x14ac:dyDescent="0.15"/>
    <row r="14894" hidden="1" x14ac:dyDescent="0.15"/>
    <row r="14895" hidden="1" x14ac:dyDescent="0.15"/>
    <row r="14896" hidden="1" x14ac:dyDescent="0.15"/>
    <row r="14897" hidden="1" x14ac:dyDescent="0.15"/>
    <row r="14898" hidden="1" x14ac:dyDescent="0.15"/>
    <row r="14899" hidden="1" x14ac:dyDescent="0.15"/>
    <row r="14900" hidden="1" x14ac:dyDescent="0.15"/>
    <row r="14901" hidden="1" x14ac:dyDescent="0.15"/>
    <row r="14902" hidden="1" x14ac:dyDescent="0.15"/>
    <row r="14903" hidden="1" x14ac:dyDescent="0.15"/>
    <row r="14904" hidden="1" x14ac:dyDescent="0.15"/>
    <row r="14905" hidden="1" x14ac:dyDescent="0.15"/>
    <row r="14906" hidden="1" x14ac:dyDescent="0.15"/>
    <row r="14907" hidden="1" x14ac:dyDescent="0.15"/>
    <row r="14908" hidden="1" x14ac:dyDescent="0.15"/>
    <row r="14909" hidden="1" x14ac:dyDescent="0.15"/>
    <row r="14910" hidden="1" x14ac:dyDescent="0.15"/>
    <row r="14911" hidden="1" x14ac:dyDescent="0.15"/>
    <row r="14912" hidden="1" x14ac:dyDescent="0.15"/>
    <row r="14913" hidden="1" x14ac:dyDescent="0.15"/>
    <row r="14914" hidden="1" x14ac:dyDescent="0.15"/>
    <row r="14915" hidden="1" x14ac:dyDescent="0.15"/>
    <row r="14916" hidden="1" x14ac:dyDescent="0.15"/>
    <row r="14917" hidden="1" x14ac:dyDescent="0.15"/>
    <row r="14918" hidden="1" x14ac:dyDescent="0.15"/>
    <row r="14919" hidden="1" x14ac:dyDescent="0.15"/>
    <row r="14920" hidden="1" x14ac:dyDescent="0.15"/>
    <row r="14921" hidden="1" x14ac:dyDescent="0.15"/>
    <row r="14922" hidden="1" x14ac:dyDescent="0.15"/>
    <row r="14923" hidden="1" x14ac:dyDescent="0.15"/>
    <row r="14924" hidden="1" x14ac:dyDescent="0.15"/>
    <row r="14925" hidden="1" x14ac:dyDescent="0.15"/>
    <row r="14926" hidden="1" x14ac:dyDescent="0.15"/>
    <row r="14927" hidden="1" x14ac:dyDescent="0.15"/>
    <row r="14928" hidden="1" x14ac:dyDescent="0.15"/>
    <row r="14929" hidden="1" x14ac:dyDescent="0.15"/>
    <row r="14930" hidden="1" x14ac:dyDescent="0.15"/>
    <row r="14931" hidden="1" x14ac:dyDescent="0.15"/>
    <row r="14932" hidden="1" x14ac:dyDescent="0.15"/>
    <row r="14933" hidden="1" x14ac:dyDescent="0.15"/>
    <row r="14934" hidden="1" x14ac:dyDescent="0.15"/>
    <row r="14935" hidden="1" x14ac:dyDescent="0.15"/>
    <row r="14936" hidden="1" x14ac:dyDescent="0.15"/>
    <row r="14937" hidden="1" x14ac:dyDescent="0.15"/>
    <row r="14938" hidden="1" x14ac:dyDescent="0.15"/>
    <row r="14939" hidden="1" x14ac:dyDescent="0.15"/>
    <row r="14940" hidden="1" x14ac:dyDescent="0.15"/>
    <row r="14941" hidden="1" x14ac:dyDescent="0.15"/>
    <row r="14942" hidden="1" x14ac:dyDescent="0.15"/>
    <row r="14943" hidden="1" x14ac:dyDescent="0.15"/>
    <row r="14944" hidden="1" x14ac:dyDescent="0.15"/>
    <row r="14945" hidden="1" x14ac:dyDescent="0.15"/>
    <row r="14946" hidden="1" x14ac:dyDescent="0.15"/>
    <row r="14947" hidden="1" x14ac:dyDescent="0.15"/>
    <row r="14948" hidden="1" x14ac:dyDescent="0.15"/>
    <row r="14949" hidden="1" x14ac:dyDescent="0.15"/>
    <row r="14950" hidden="1" x14ac:dyDescent="0.15"/>
    <row r="14951" hidden="1" x14ac:dyDescent="0.15"/>
    <row r="14952" hidden="1" x14ac:dyDescent="0.15"/>
    <row r="14953" hidden="1" x14ac:dyDescent="0.15"/>
    <row r="14954" hidden="1" x14ac:dyDescent="0.15"/>
    <row r="14955" hidden="1" x14ac:dyDescent="0.15"/>
    <row r="14956" hidden="1" x14ac:dyDescent="0.15"/>
    <row r="14957" hidden="1" x14ac:dyDescent="0.15"/>
    <row r="14958" hidden="1" x14ac:dyDescent="0.15"/>
    <row r="14959" hidden="1" x14ac:dyDescent="0.15"/>
    <row r="14960" hidden="1" x14ac:dyDescent="0.15"/>
    <row r="14961" hidden="1" x14ac:dyDescent="0.15"/>
    <row r="14962" hidden="1" x14ac:dyDescent="0.15"/>
    <row r="14963" hidden="1" x14ac:dyDescent="0.15"/>
    <row r="14964" hidden="1" x14ac:dyDescent="0.15"/>
    <row r="14965" hidden="1" x14ac:dyDescent="0.15"/>
    <row r="14966" hidden="1" x14ac:dyDescent="0.15"/>
    <row r="14967" hidden="1" x14ac:dyDescent="0.15"/>
    <row r="14968" hidden="1" x14ac:dyDescent="0.15"/>
    <row r="14969" hidden="1" x14ac:dyDescent="0.15"/>
    <row r="14970" hidden="1" x14ac:dyDescent="0.15"/>
    <row r="14971" hidden="1" x14ac:dyDescent="0.15"/>
    <row r="14972" hidden="1" x14ac:dyDescent="0.15"/>
    <row r="14973" hidden="1" x14ac:dyDescent="0.15"/>
    <row r="14974" hidden="1" x14ac:dyDescent="0.15"/>
    <row r="14975" hidden="1" x14ac:dyDescent="0.15"/>
    <row r="14976" hidden="1" x14ac:dyDescent="0.15"/>
    <row r="14977" hidden="1" x14ac:dyDescent="0.15"/>
    <row r="14978" hidden="1" x14ac:dyDescent="0.15"/>
    <row r="14979" hidden="1" x14ac:dyDescent="0.15"/>
    <row r="14980" hidden="1" x14ac:dyDescent="0.15"/>
    <row r="14981" hidden="1" x14ac:dyDescent="0.15"/>
    <row r="14982" hidden="1" x14ac:dyDescent="0.15"/>
    <row r="14983" hidden="1" x14ac:dyDescent="0.15"/>
    <row r="14984" hidden="1" x14ac:dyDescent="0.15"/>
    <row r="14985" hidden="1" x14ac:dyDescent="0.15"/>
    <row r="14986" hidden="1" x14ac:dyDescent="0.15"/>
    <row r="14987" hidden="1" x14ac:dyDescent="0.15"/>
    <row r="14988" hidden="1" x14ac:dyDescent="0.15"/>
    <row r="14989" hidden="1" x14ac:dyDescent="0.15"/>
    <row r="14990" hidden="1" x14ac:dyDescent="0.15"/>
    <row r="14991" hidden="1" x14ac:dyDescent="0.15"/>
    <row r="14992" hidden="1" x14ac:dyDescent="0.15"/>
    <row r="14993" hidden="1" x14ac:dyDescent="0.15"/>
    <row r="14994" hidden="1" x14ac:dyDescent="0.15"/>
    <row r="14995" hidden="1" x14ac:dyDescent="0.15"/>
    <row r="14996" hidden="1" x14ac:dyDescent="0.15"/>
    <row r="14997" hidden="1" x14ac:dyDescent="0.15"/>
    <row r="14998" hidden="1" x14ac:dyDescent="0.15"/>
    <row r="14999" hidden="1" x14ac:dyDescent="0.15"/>
    <row r="15000" hidden="1" x14ac:dyDescent="0.15"/>
    <row r="15001" hidden="1" x14ac:dyDescent="0.15"/>
    <row r="15002" hidden="1" x14ac:dyDescent="0.15"/>
    <row r="15003" hidden="1" x14ac:dyDescent="0.15"/>
    <row r="15004" hidden="1" x14ac:dyDescent="0.15"/>
    <row r="15005" hidden="1" x14ac:dyDescent="0.15"/>
    <row r="15006" hidden="1" x14ac:dyDescent="0.15"/>
    <row r="15007" hidden="1" x14ac:dyDescent="0.15"/>
    <row r="15008" hidden="1" x14ac:dyDescent="0.15"/>
    <row r="15009" hidden="1" x14ac:dyDescent="0.15"/>
    <row r="15010" hidden="1" x14ac:dyDescent="0.15"/>
    <row r="15011" hidden="1" x14ac:dyDescent="0.15"/>
    <row r="15012" hidden="1" x14ac:dyDescent="0.15"/>
    <row r="15013" hidden="1" x14ac:dyDescent="0.15"/>
    <row r="15014" hidden="1" x14ac:dyDescent="0.15"/>
    <row r="15015" hidden="1" x14ac:dyDescent="0.15"/>
    <row r="15016" hidden="1" x14ac:dyDescent="0.15"/>
    <row r="15017" hidden="1" x14ac:dyDescent="0.15"/>
    <row r="15018" hidden="1" x14ac:dyDescent="0.15"/>
    <row r="15019" hidden="1" x14ac:dyDescent="0.15"/>
    <row r="15020" hidden="1" x14ac:dyDescent="0.15"/>
    <row r="15021" hidden="1" x14ac:dyDescent="0.15"/>
    <row r="15022" hidden="1" x14ac:dyDescent="0.15"/>
    <row r="15023" hidden="1" x14ac:dyDescent="0.15"/>
    <row r="15024" hidden="1" x14ac:dyDescent="0.15"/>
    <row r="15025" hidden="1" x14ac:dyDescent="0.15"/>
    <row r="15026" hidden="1" x14ac:dyDescent="0.15"/>
    <row r="15027" hidden="1" x14ac:dyDescent="0.15"/>
    <row r="15028" hidden="1" x14ac:dyDescent="0.15"/>
    <row r="15029" hidden="1" x14ac:dyDescent="0.15"/>
    <row r="15030" hidden="1" x14ac:dyDescent="0.15"/>
    <row r="15031" hidden="1" x14ac:dyDescent="0.15"/>
    <row r="15032" hidden="1" x14ac:dyDescent="0.15"/>
    <row r="15033" hidden="1" x14ac:dyDescent="0.15"/>
    <row r="15034" hidden="1" x14ac:dyDescent="0.15"/>
    <row r="15035" hidden="1" x14ac:dyDescent="0.15"/>
    <row r="15036" hidden="1" x14ac:dyDescent="0.15"/>
    <row r="15037" hidden="1" x14ac:dyDescent="0.15"/>
    <row r="15038" hidden="1" x14ac:dyDescent="0.15"/>
    <row r="15039" hidden="1" x14ac:dyDescent="0.15"/>
    <row r="15040" hidden="1" x14ac:dyDescent="0.15"/>
    <row r="15041" hidden="1" x14ac:dyDescent="0.15"/>
    <row r="15042" hidden="1" x14ac:dyDescent="0.15"/>
    <row r="15043" hidden="1" x14ac:dyDescent="0.15"/>
    <row r="15044" hidden="1" x14ac:dyDescent="0.15"/>
    <row r="15045" hidden="1" x14ac:dyDescent="0.15"/>
    <row r="15046" hidden="1" x14ac:dyDescent="0.15"/>
    <row r="15047" hidden="1" x14ac:dyDescent="0.15"/>
    <row r="15048" hidden="1" x14ac:dyDescent="0.15"/>
    <row r="15049" hidden="1" x14ac:dyDescent="0.15"/>
    <row r="15050" hidden="1" x14ac:dyDescent="0.15"/>
    <row r="15051" hidden="1" x14ac:dyDescent="0.15"/>
    <row r="15052" hidden="1" x14ac:dyDescent="0.15"/>
    <row r="15053" hidden="1" x14ac:dyDescent="0.15"/>
    <row r="15054" hidden="1" x14ac:dyDescent="0.15"/>
    <row r="15055" hidden="1" x14ac:dyDescent="0.15"/>
    <row r="15056" hidden="1" x14ac:dyDescent="0.15"/>
    <row r="15057" hidden="1" x14ac:dyDescent="0.15"/>
    <row r="15058" hidden="1" x14ac:dyDescent="0.15"/>
    <row r="15059" hidden="1" x14ac:dyDescent="0.15"/>
    <row r="15060" hidden="1" x14ac:dyDescent="0.15"/>
    <row r="15061" hidden="1" x14ac:dyDescent="0.15"/>
    <row r="15062" hidden="1" x14ac:dyDescent="0.15"/>
    <row r="15063" hidden="1" x14ac:dyDescent="0.15"/>
    <row r="15064" hidden="1" x14ac:dyDescent="0.15"/>
    <row r="15065" hidden="1" x14ac:dyDescent="0.15"/>
    <row r="15066" hidden="1" x14ac:dyDescent="0.15"/>
    <row r="15067" hidden="1" x14ac:dyDescent="0.15"/>
    <row r="15068" hidden="1" x14ac:dyDescent="0.15"/>
    <row r="15069" hidden="1" x14ac:dyDescent="0.15"/>
    <row r="15070" hidden="1" x14ac:dyDescent="0.15"/>
    <row r="15071" hidden="1" x14ac:dyDescent="0.15"/>
    <row r="15072" hidden="1" x14ac:dyDescent="0.15"/>
    <row r="15073" hidden="1" x14ac:dyDescent="0.15"/>
    <row r="15074" hidden="1" x14ac:dyDescent="0.15"/>
    <row r="15075" hidden="1" x14ac:dyDescent="0.15"/>
    <row r="15076" hidden="1" x14ac:dyDescent="0.15"/>
    <row r="15077" hidden="1" x14ac:dyDescent="0.15"/>
    <row r="15078" hidden="1" x14ac:dyDescent="0.15"/>
    <row r="15079" hidden="1" x14ac:dyDescent="0.15"/>
    <row r="15080" hidden="1" x14ac:dyDescent="0.15"/>
    <row r="15081" hidden="1" x14ac:dyDescent="0.15"/>
    <row r="15082" hidden="1" x14ac:dyDescent="0.15"/>
    <row r="15083" hidden="1" x14ac:dyDescent="0.15"/>
    <row r="15084" hidden="1" x14ac:dyDescent="0.15"/>
    <row r="15085" hidden="1" x14ac:dyDescent="0.15"/>
    <row r="15086" hidden="1" x14ac:dyDescent="0.15"/>
    <row r="15087" hidden="1" x14ac:dyDescent="0.15"/>
    <row r="15088" hidden="1" x14ac:dyDescent="0.15"/>
    <row r="15089" hidden="1" x14ac:dyDescent="0.15"/>
    <row r="15090" hidden="1" x14ac:dyDescent="0.15"/>
    <row r="15091" hidden="1" x14ac:dyDescent="0.15"/>
    <row r="15092" hidden="1" x14ac:dyDescent="0.15"/>
    <row r="15093" hidden="1" x14ac:dyDescent="0.15"/>
    <row r="15094" hidden="1" x14ac:dyDescent="0.15"/>
    <row r="15095" hidden="1" x14ac:dyDescent="0.15"/>
    <row r="15096" hidden="1" x14ac:dyDescent="0.15"/>
    <row r="15097" hidden="1" x14ac:dyDescent="0.15"/>
    <row r="15098" hidden="1" x14ac:dyDescent="0.15"/>
    <row r="15099" hidden="1" x14ac:dyDescent="0.15"/>
    <row r="15100" hidden="1" x14ac:dyDescent="0.15"/>
    <row r="15101" hidden="1" x14ac:dyDescent="0.15"/>
    <row r="15102" hidden="1" x14ac:dyDescent="0.15"/>
    <row r="15103" hidden="1" x14ac:dyDescent="0.15"/>
    <row r="15104" hidden="1" x14ac:dyDescent="0.15"/>
    <row r="15105" hidden="1" x14ac:dyDescent="0.15"/>
    <row r="15106" hidden="1" x14ac:dyDescent="0.15"/>
    <row r="15107" hidden="1" x14ac:dyDescent="0.15"/>
    <row r="15108" hidden="1" x14ac:dyDescent="0.15"/>
    <row r="15109" hidden="1" x14ac:dyDescent="0.15"/>
    <row r="15110" hidden="1" x14ac:dyDescent="0.15"/>
    <row r="15111" hidden="1" x14ac:dyDescent="0.15"/>
    <row r="15112" hidden="1" x14ac:dyDescent="0.15"/>
    <row r="15113" hidden="1" x14ac:dyDescent="0.15"/>
    <row r="15114" hidden="1" x14ac:dyDescent="0.15"/>
    <row r="15115" hidden="1" x14ac:dyDescent="0.15"/>
    <row r="15116" hidden="1" x14ac:dyDescent="0.15"/>
    <row r="15117" hidden="1" x14ac:dyDescent="0.15"/>
    <row r="15118" hidden="1" x14ac:dyDescent="0.15"/>
    <row r="15119" hidden="1" x14ac:dyDescent="0.15"/>
    <row r="15120" hidden="1" x14ac:dyDescent="0.15"/>
    <row r="15121" hidden="1" x14ac:dyDescent="0.15"/>
    <row r="15122" hidden="1" x14ac:dyDescent="0.15"/>
    <row r="15123" hidden="1" x14ac:dyDescent="0.15"/>
    <row r="15124" hidden="1" x14ac:dyDescent="0.15"/>
    <row r="15125" hidden="1" x14ac:dyDescent="0.15"/>
    <row r="15126" hidden="1" x14ac:dyDescent="0.15"/>
    <row r="15127" hidden="1" x14ac:dyDescent="0.15"/>
    <row r="15128" hidden="1" x14ac:dyDescent="0.15"/>
    <row r="15129" hidden="1" x14ac:dyDescent="0.15"/>
    <row r="15130" hidden="1" x14ac:dyDescent="0.15"/>
    <row r="15131" hidden="1" x14ac:dyDescent="0.15"/>
    <row r="15132" hidden="1" x14ac:dyDescent="0.15"/>
    <row r="15133" hidden="1" x14ac:dyDescent="0.15"/>
    <row r="15134" hidden="1" x14ac:dyDescent="0.15"/>
    <row r="15135" hidden="1" x14ac:dyDescent="0.15"/>
    <row r="15136" hidden="1" x14ac:dyDescent="0.15"/>
    <row r="15137" hidden="1" x14ac:dyDescent="0.15"/>
    <row r="15138" hidden="1" x14ac:dyDescent="0.15"/>
    <row r="15139" hidden="1" x14ac:dyDescent="0.15"/>
    <row r="15140" hidden="1" x14ac:dyDescent="0.15"/>
    <row r="15141" hidden="1" x14ac:dyDescent="0.15"/>
    <row r="15142" hidden="1" x14ac:dyDescent="0.15"/>
    <row r="15143" hidden="1" x14ac:dyDescent="0.15"/>
    <row r="15144" hidden="1" x14ac:dyDescent="0.15"/>
    <row r="15145" hidden="1" x14ac:dyDescent="0.15"/>
    <row r="15146" hidden="1" x14ac:dyDescent="0.15"/>
    <row r="15147" hidden="1" x14ac:dyDescent="0.15"/>
    <row r="15148" hidden="1" x14ac:dyDescent="0.15"/>
    <row r="15149" hidden="1" x14ac:dyDescent="0.15"/>
    <row r="15150" hidden="1" x14ac:dyDescent="0.15"/>
    <row r="15151" hidden="1" x14ac:dyDescent="0.15"/>
    <row r="15152" hidden="1" x14ac:dyDescent="0.15"/>
    <row r="15153" hidden="1" x14ac:dyDescent="0.15"/>
    <row r="15154" hidden="1" x14ac:dyDescent="0.15"/>
    <row r="15155" hidden="1" x14ac:dyDescent="0.15"/>
    <row r="15156" hidden="1" x14ac:dyDescent="0.15"/>
    <row r="15157" hidden="1" x14ac:dyDescent="0.15"/>
    <row r="15158" hidden="1" x14ac:dyDescent="0.15"/>
    <row r="15159" hidden="1" x14ac:dyDescent="0.15"/>
    <row r="15160" hidden="1" x14ac:dyDescent="0.15"/>
    <row r="15161" hidden="1" x14ac:dyDescent="0.15"/>
    <row r="15162" hidden="1" x14ac:dyDescent="0.15"/>
    <row r="15163" hidden="1" x14ac:dyDescent="0.15"/>
    <row r="15164" hidden="1" x14ac:dyDescent="0.15"/>
    <row r="15165" hidden="1" x14ac:dyDescent="0.15"/>
    <row r="15166" hidden="1" x14ac:dyDescent="0.15"/>
    <row r="15167" hidden="1" x14ac:dyDescent="0.15"/>
    <row r="15168" hidden="1" x14ac:dyDescent="0.15"/>
    <row r="15169" hidden="1" x14ac:dyDescent="0.15"/>
    <row r="15170" hidden="1" x14ac:dyDescent="0.15"/>
    <row r="15171" hidden="1" x14ac:dyDescent="0.15"/>
    <row r="15172" hidden="1" x14ac:dyDescent="0.15"/>
    <row r="15173" hidden="1" x14ac:dyDescent="0.15"/>
    <row r="15174" hidden="1" x14ac:dyDescent="0.15"/>
    <row r="15175" hidden="1" x14ac:dyDescent="0.15"/>
    <row r="15176" hidden="1" x14ac:dyDescent="0.15"/>
    <row r="15177" hidden="1" x14ac:dyDescent="0.15"/>
    <row r="15178" hidden="1" x14ac:dyDescent="0.15"/>
    <row r="15179" hidden="1" x14ac:dyDescent="0.15"/>
    <row r="15180" hidden="1" x14ac:dyDescent="0.15"/>
    <row r="15181" hidden="1" x14ac:dyDescent="0.15"/>
    <row r="15182" hidden="1" x14ac:dyDescent="0.15"/>
    <row r="15183" hidden="1" x14ac:dyDescent="0.15"/>
    <row r="15184" hidden="1" x14ac:dyDescent="0.15"/>
    <row r="15185" hidden="1" x14ac:dyDescent="0.15"/>
    <row r="15186" hidden="1" x14ac:dyDescent="0.15"/>
    <row r="15187" hidden="1" x14ac:dyDescent="0.15"/>
    <row r="15188" hidden="1" x14ac:dyDescent="0.15"/>
    <row r="15189" hidden="1" x14ac:dyDescent="0.15"/>
    <row r="15190" hidden="1" x14ac:dyDescent="0.15"/>
    <row r="15191" hidden="1" x14ac:dyDescent="0.15"/>
    <row r="15192" hidden="1" x14ac:dyDescent="0.15"/>
    <row r="15193" hidden="1" x14ac:dyDescent="0.15"/>
    <row r="15194" hidden="1" x14ac:dyDescent="0.15"/>
    <row r="15195" hidden="1" x14ac:dyDescent="0.15"/>
    <row r="15196" hidden="1" x14ac:dyDescent="0.15"/>
    <row r="15197" hidden="1" x14ac:dyDescent="0.15"/>
    <row r="15198" hidden="1" x14ac:dyDescent="0.15"/>
    <row r="15199" hidden="1" x14ac:dyDescent="0.15"/>
    <row r="15200" hidden="1" x14ac:dyDescent="0.15"/>
    <row r="15201" hidden="1" x14ac:dyDescent="0.15"/>
    <row r="15202" hidden="1" x14ac:dyDescent="0.15"/>
    <row r="15203" hidden="1" x14ac:dyDescent="0.15"/>
    <row r="15204" hidden="1" x14ac:dyDescent="0.15"/>
    <row r="15205" hidden="1" x14ac:dyDescent="0.15"/>
    <row r="15206" hidden="1" x14ac:dyDescent="0.15"/>
    <row r="15207" hidden="1" x14ac:dyDescent="0.15"/>
    <row r="15208" hidden="1" x14ac:dyDescent="0.15"/>
    <row r="15209" hidden="1" x14ac:dyDescent="0.15"/>
    <row r="15210" hidden="1" x14ac:dyDescent="0.15"/>
    <row r="15211" hidden="1" x14ac:dyDescent="0.15"/>
    <row r="15212" hidden="1" x14ac:dyDescent="0.15"/>
    <row r="15213" hidden="1" x14ac:dyDescent="0.15"/>
    <row r="15214" hidden="1" x14ac:dyDescent="0.15"/>
    <row r="15215" hidden="1" x14ac:dyDescent="0.15"/>
    <row r="15216" hidden="1" x14ac:dyDescent="0.15"/>
    <row r="15217" hidden="1" x14ac:dyDescent="0.15"/>
    <row r="15218" hidden="1" x14ac:dyDescent="0.15"/>
    <row r="15219" hidden="1" x14ac:dyDescent="0.15"/>
    <row r="15220" hidden="1" x14ac:dyDescent="0.15"/>
    <row r="15221" hidden="1" x14ac:dyDescent="0.15"/>
    <row r="15222" hidden="1" x14ac:dyDescent="0.15"/>
    <row r="15223" hidden="1" x14ac:dyDescent="0.15"/>
    <row r="15224" hidden="1" x14ac:dyDescent="0.15"/>
    <row r="15225" hidden="1" x14ac:dyDescent="0.15"/>
    <row r="15226" hidden="1" x14ac:dyDescent="0.15"/>
    <row r="15227" hidden="1" x14ac:dyDescent="0.15"/>
    <row r="15228" hidden="1" x14ac:dyDescent="0.15"/>
    <row r="15229" hidden="1" x14ac:dyDescent="0.15"/>
    <row r="15230" hidden="1" x14ac:dyDescent="0.15"/>
    <row r="15231" hidden="1" x14ac:dyDescent="0.15"/>
    <row r="15232" hidden="1" x14ac:dyDescent="0.15"/>
    <row r="15233" hidden="1" x14ac:dyDescent="0.15"/>
    <row r="15234" hidden="1" x14ac:dyDescent="0.15"/>
    <row r="15235" hidden="1" x14ac:dyDescent="0.15"/>
    <row r="15236" hidden="1" x14ac:dyDescent="0.15"/>
    <row r="15237" hidden="1" x14ac:dyDescent="0.15"/>
    <row r="15238" hidden="1" x14ac:dyDescent="0.15"/>
    <row r="15239" hidden="1" x14ac:dyDescent="0.15"/>
    <row r="15240" hidden="1" x14ac:dyDescent="0.15"/>
    <row r="15241" hidden="1" x14ac:dyDescent="0.15"/>
    <row r="15242" hidden="1" x14ac:dyDescent="0.15"/>
    <row r="15243" hidden="1" x14ac:dyDescent="0.15"/>
    <row r="15244" hidden="1" x14ac:dyDescent="0.15"/>
    <row r="15245" hidden="1" x14ac:dyDescent="0.15"/>
    <row r="15246" hidden="1" x14ac:dyDescent="0.15"/>
    <row r="15247" hidden="1" x14ac:dyDescent="0.15"/>
    <row r="15248" hidden="1" x14ac:dyDescent="0.15"/>
    <row r="15249" hidden="1" x14ac:dyDescent="0.15"/>
    <row r="15250" hidden="1" x14ac:dyDescent="0.15"/>
    <row r="15251" hidden="1" x14ac:dyDescent="0.15"/>
    <row r="15252" hidden="1" x14ac:dyDescent="0.15"/>
    <row r="15253" hidden="1" x14ac:dyDescent="0.15"/>
    <row r="15254" hidden="1" x14ac:dyDescent="0.15"/>
    <row r="15255" hidden="1" x14ac:dyDescent="0.15"/>
    <row r="15256" hidden="1" x14ac:dyDescent="0.15"/>
    <row r="15257" hidden="1" x14ac:dyDescent="0.15"/>
    <row r="15258" hidden="1" x14ac:dyDescent="0.15"/>
    <row r="15259" hidden="1" x14ac:dyDescent="0.15"/>
    <row r="15260" hidden="1" x14ac:dyDescent="0.15"/>
    <row r="15261" hidden="1" x14ac:dyDescent="0.15"/>
    <row r="15262" hidden="1" x14ac:dyDescent="0.15"/>
    <row r="15263" hidden="1" x14ac:dyDescent="0.15"/>
    <row r="15264" hidden="1" x14ac:dyDescent="0.15"/>
    <row r="15265" hidden="1" x14ac:dyDescent="0.15"/>
    <row r="15266" hidden="1" x14ac:dyDescent="0.15"/>
    <row r="15267" hidden="1" x14ac:dyDescent="0.15"/>
    <row r="15268" hidden="1" x14ac:dyDescent="0.15"/>
    <row r="15269" hidden="1" x14ac:dyDescent="0.15"/>
    <row r="15270" hidden="1" x14ac:dyDescent="0.15"/>
    <row r="15271" hidden="1" x14ac:dyDescent="0.15"/>
    <row r="15272" hidden="1" x14ac:dyDescent="0.15"/>
    <row r="15273" hidden="1" x14ac:dyDescent="0.15"/>
    <row r="15274" hidden="1" x14ac:dyDescent="0.15"/>
    <row r="15275" hidden="1" x14ac:dyDescent="0.15"/>
    <row r="15276" hidden="1" x14ac:dyDescent="0.15"/>
    <row r="15277" hidden="1" x14ac:dyDescent="0.15"/>
    <row r="15278" hidden="1" x14ac:dyDescent="0.15"/>
    <row r="15279" hidden="1" x14ac:dyDescent="0.15"/>
    <row r="15280" hidden="1" x14ac:dyDescent="0.15"/>
    <row r="15281" hidden="1" x14ac:dyDescent="0.15"/>
    <row r="15282" hidden="1" x14ac:dyDescent="0.15"/>
    <row r="15283" hidden="1" x14ac:dyDescent="0.15"/>
    <row r="15284" hidden="1" x14ac:dyDescent="0.15"/>
    <row r="15285" hidden="1" x14ac:dyDescent="0.15"/>
    <row r="15286" hidden="1" x14ac:dyDescent="0.15"/>
    <row r="15287" hidden="1" x14ac:dyDescent="0.15"/>
    <row r="15288" hidden="1" x14ac:dyDescent="0.15"/>
    <row r="15289" hidden="1" x14ac:dyDescent="0.15"/>
    <row r="15290" hidden="1" x14ac:dyDescent="0.15"/>
    <row r="15291" hidden="1" x14ac:dyDescent="0.15"/>
    <row r="15292" hidden="1" x14ac:dyDescent="0.15"/>
    <row r="15293" hidden="1" x14ac:dyDescent="0.15"/>
    <row r="15294" hidden="1" x14ac:dyDescent="0.15"/>
    <row r="15295" hidden="1" x14ac:dyDescent="0.15"/>
    <row r="15296" hidden="1" x14ac:dyDescent="0.15"/>
    <row r="15297" hidden="1" x14ac:dyDescent="0.15"/>
    <row r="15298" hidden="1" x14ac:dyDescent="0.15"/>
    <row r="15299" hidden="1" x14ac:dyDescent="0.15"/>
    <row r="15300" hidden="1" x14ac:dyDescent="0.15"/>
    <row r="15301" hidden="1" x14ac:dyDescent="0.15"/>
    <row r="15302" hidden="1" x14ac:dyDescent="0.15"/>
    <row r="15303" hidden="1" x14ac:dyDescent="0.15"/>
    <row r="15304" hidden="1" x14ac:dyDescent="0.15"/>
    <row r="15305" hidden="1" x14ac:dyDescent="0.15"/>
    <row r="15306" hidden="1" x14ac:dyDescent="0.15"/>
    <row r="15307" hidden="1" x14ac:dyDescent="0.15"/>
    <row r="15308" hidden="1" x14ac:dyDescent="0.15"/>
    <row r="15309" hidden="1" x14ac:dyDescent="0.15"/>
    <row r="15310" hidden="1" x14ac:dyDescent="0.15"/>
    <row r="15311" hidden="1" x14ac:dyDescent="0.15"/>
    <row r="15312" hidden="1" x14ac:dyDescent="0.15"/>
    <row r="15313" hidden="1" x14ac:dyDescent="0.15"/>
    <row r="15314" hidden="1" x14ac:dyDescent="0.15"/>
    <row r="15315" hidden="1" x14ac:dyDescent="0.15"/>
    <row r="15316" hidden="1" x14ac:dyDescent="0.15"/>
    <row r="15317" hidden="1" x14ac:dyDescent="0.15"/>
    <row r="15318" hidden="1" x14ac:dyDescent="0.15"/>
    <row r="15319" hidden="1" x14ac:dyDescent="0.15"/>
    <row r="15320" hidden="1" x14ac:dyDescent="0.15"/>
    <row r="15321" hidden="1" x14ac:dyDescent="0.15"/>
    <row r="15322" hidden="1" x14ac:dyDescent="0.15"/>
    <row r="15323" hidden="1" x14ac:dyDescent="0.15"/>
    <row r="15324" hidden="1" x14ac:dyDescent="0.15"/>
    <row r="15325" hidden="1" x14ac:dyDescent="0.15"/>
    <row r="15326" hidden="1" x14ac:dyDescent="0.15"/>
    <row r="15327" hidden="1" x14ac:dyDescent="0.15"/>
    <row r="15328" hidden="1" x14ac:dyDescent="0.15"/>
    <row r="15329" hidden="1" x14ac:dyDescent="0.15"/>
    <row r="15330" hidden="1" x14ac:dyDescent="0.15"/>
    <row r="15331" hidden="1" x14ac:dyDescent="0.15"/>
    <row r="15332" hidden="1" x14ac:dyDescent="0.15"/>
    <row r="15333" hidden="1" x14ac:dyDescent="0.15"/>
    <row r="15334" hidden="1" x14ac:dyDescent="0.15"/>
    <row r="15335" hidden="1" x14ac:dyDescent="0.15"/>
    <row r="15336" hidden="1" x14ac:dyDescent="0.15"/>
    <row r="15337" hidden="1" x14ac:dyDescent="0.15"/>
    <row r="15338" hidden="1" x14ac:dyDescent="0.15"/>
    <row r="15339" hidden="1" x14ac:dyDescent="0.15"/>
    <row r="15340" hidden="1" x14ac:dyDescent="0.15"/>
    <row r="15341" hidden="1" x14ac:dyDescent="0.15"/>
    <row r="15342" hidden="1" x14ac:dyDescent="0.15"/>
    <row r="15343" hidden="1" x14ac:dyDescent="0.15"/>
    <row r="15344" hidden="1" x14ac:dyDescent="0.15"/>
    <row r="15345" hidden="1" x14ac:dyDescent="0.15"/>
    <row r="15346" hidden="1" x14ac:dyDescent="0.15"/>
    <row r="15347" hidden="1" x14ac:dyDescent="0.15"/>
    <row r="15348" hidden="1" x14ac:dyDescent="0.15"/>
    <row r="15349" hidden="1" x14ac:dyDescent="0.15"/>
    <row r="15350" hidden="1" x14ac:dyDescent="0.15"/>
    <row r="15351" hidden="1" x14ac:dyDescent="0.15"/>
    <row r="15352" hidden="1" x14ac:dyDescent="0.15"/>
    <row r="15353" hidden="1" x14ac:dyDescent="0.15"/>
    <row r="15354" hidden="1" x14ac:dyDescent="0.15"/>
    <row r="15355" hidden="1" x14ac:dyDescent="0.15"/>
    <row r="15356" hidden="1" x14ac:dyDescent="0.15"/>
    <row r="15357" hidden="1" x14ac:dyDescent="0.15"/>
    <row r="15358" hidden="1" x14ac:dyDescent="0.15"/>
    <row r="15359" hidden="1" x14ac:dyDescent="0.15"/>
    <row r="15360" hidden="1" x14ac:dyDescent="0.15"/>
    <row r="15361" hidden="1" x14ac:dyDescent="0.15"/>
    <row r="15362" hidden="1" x14ac:dyDescent="0.15"/>
    <row r="15363" hidden="1" x14ac:dyDescent="0.15"/>
    <row r="15364" hidden="1" x14ac:dyDescent="0.15"/>
    <row r="15365" hidden="1" x14ac:dyDescent="0.15"/>
    <row r="15366" hidden="1" x14ac:dyDescent="0.15"/>
    <row r="15367" hidden="1" x14ac:dyDescent="0.15"/>
    <row r="15368" hidden="1" x14ac:dyDescent="0.15"/>
    <row r="15369" hidden="1" x14ac:dyDescent="0.15"/>
    <row r="15370" hidden="1" x14ac:dyDescent="0.15"/>
    <row r="15371" hidden="1" x14ac:dyDescent="0.15"/>
    <row r="15372" hidden="1" x14ac:dyDescent="0.15"/>
    <row r="15373" hidden="1" x14ac:dyDescent="0.15"/>
    <row r="15374" hidden="1" x14ac:dyDescent="0.15"/>
    <row r="15375" hidden="1" x14ac:dyDescent="0.15"/>
    <row r="15376" hidden="1" x14ac:dyDescent="0.15"/>
    <row r="15377" hidden="1" x14ac:dyDescent="0.15"/>
    <row r="15378" hidden="1" x14ac:dyDescent="0.15"/>
    <row r="15379" hidden="1" x14ac:dyDescent="0.15"/>
    <row r="15380" hidden="1" x14ac:dyDescent="0.15"/>
    <row r="15381" hidden="1" x14ac:dyDescent="0.15"/>
    <row r="15382" hidden="1" x14ac:dyDescent="0.15"/>
    <row r="15383" hidden="1" x14ac:dyDescent="0.15"/>
    <row r="15384" hidden="1" x14ac:dyDescent="0.15"/>
    <row r="15385" hidden="1" x14ac:dyDescent="0.15"/>
    <row r="15386" hidden="1" x14ac:dyDescent="0.15"/>
    <row r="15387" hidden="1" x14ac:dyDescent="0.15"/>
    <row r="15388" hidden="1" x14ac:dyDescent="0.15"/>
    <row r="15389" hidden="1" x14ac:dyDescent="0.15"/>
    <row r="15390" hidden="1" x14ac:dyDescent="0.15"/>
    <row r="15391" hidden="1" x14ac:dyDescent="0.15"/>
    <row r="15392" hidden="1" x14ac:dyDescent="0.15"/>
    <row r="15393" hidden="1" x14ac:dyDescent="0.15"/>
    <row r="15394" hidden="1" x14ac:dyDescent="0.15"/>
    <row r="15395" hidden="1" x14ac:dyDescent="0.15"/>
    <row r="15396" hidden="1" x14ac:dyDescent="0.15"/>
    <row r="15397" hidden="1" x14ac:dyDescent="0.15"/>
    <row r="15398" hidden="1" x14ac:dyDescent="0.15"/>
    <row r="15399" hidden="1" x14ac:dyDescent="0.15"/>
    <row r="15400" hidden="1" x14ac:dyDescent="0.15"/>
    <row r="15401" hidden="1" x14ac:dyDescent="0.15"/>
    <row r="15402" hidden="1" x14ac:dyDescent="0.15"/>
    <row r="15403" hidden="1" x14ac:dyDescent="0.15"/>
    <row r="15404" hidden="1" x14ac:dyDescent="0.15"/>
    <row r="15405" hidden="1" x14ac:dyDescent="0.15"/>
    <row r="15406" hidden="1" x14ac:dyDescent="0.15"/>
    <row r="15407" hidden="1" x14ac:dyDescent="0.15"/>
    <row r="15408" hidden="1" x14ac:dyDescent="0.15"/>
    <row r="15409" hidden="1" x14ac:dyDescent="0.15"/>
    <row r="15410" hidden="1" x14ac:dyDescent="0.15"/>
    <row r="15411" hidden="1" x14ac:dyDescent="0.15"/>
    <row r="15412" hidden="1" x14ac:dyDescent="0.15"/>
    <row r="15413" hidden="1" x14ac:dyDescent="0.15"/>
    <row r="15414" hidden="1" x14ac:dyDescent="0.15"/>
    <row r="15415" hidden="1" x14ac:dyDescent="0.15"/>
    <row r="15416" hidden="1" x14ac:dyDescent="0.15"/>
    <row r="15417" hidden="1" x14ac:dyDescent="0.15"/>
    <row r="15418" hidden="1" x14ac:dyDescent="0.15"/>
    <row r="15419" hidden="1" x14ac:dyDescent="0.15"/>
    <row r="15420" hidden="1" x14ac:dyDescent="0.15"/>
    <row r="15421" hidden="1" x14ac:dyDescent="0.15"/>
    <row r="15422" hidden="1" x14ac:dyDescent="0.15"/>
    <row r="15423" hidden="1" x14ac:dyDescent="0.15"/>
    <row r="15424" hidden="1" x14ac:dyDescent="0.15"/>
    <row r="15425" hidden="1" x14ac:dyDescent="0.15"/>
    <row r="15426" hidden="1" x14ac:dyDescent="0.15"/>
    <row r="15427" hidden="1" x14ac:dyDescent="0.15"/>
    <row r="15428" hidden="1" x14ac:dyDescent="0.15"/>
    <row r="15429" hidden="1" x14ac:dyDescent="0.15"/>
    <row r="15430" hidden="1" x14ac:dyDescent="0.15"/>
    <row r="15431" hidden="1" x14ac:dyDescent="0.15"/>
    <row r="15432" hidden="1" x14ac:dyDescent="0.15"/>
    <row r="15433" hidden="1" x14ac:dyDescent="0.15"/>
    <row r="15434" hidden="1" x14ac:dyDescent="0.15"/>
    <row r="15435" hidden="1" x14ac:dyDescent="0.15"/>
    <row r="15436" hidden="1" x14ac:dyDescent="0.15"/>
    <row r="15437" hidden="1" x14ac:dyDescent="0.15"/>
    <row r="15438" hidden="1" x14ac:dyDescent="0.15"/>
    <row r="15439" hidden="1" x14ac:dyDescent="0.15"/>
    <row r="15440" hidden="1" x14ac:dyDescent="0.15"/>
    <row r="15441" hidden="1" x14ac:dyDescent="0.15"/>
    <row r="15442" hidden="1" x14ac:dyDescent="0.15"/>
    <row r="15443" hidden="1" x14ac:dyDescent="0.15"/>
    <row r="15444" hidden="1" x14ac:dyDescent="0.15"/>
    <row r="15445" hidden="1" x14ac:dyDescent="0.15"/>
    <row r="15446" hidden="1" x14ac:dyDescent="0.15"/>
    <row r="15447" hidden="1" x14ac:dyDescent="0.15"/>
    <row r="15448" hidden="1" x14ac:dyDescent="0.15"/>
    <row r="15449" hidden="1" x14ac:dyDescent="0.15"/>
    <row r="15450" hidden="1" x14ac:dyDescent="0.15"/>
    <row r="15451" hidden="1" x14ac:dyDescent="0.15"/>
    <row r="15452" hidden="1" x14ac:dyDescent="0.15"/>
    <row r="15453" hidden="1" x14ac:dyDescent="0.15"/>
    <row r="15454" hidden="1" x14ac:dyDescent="0.15"/>
    <row r="15455" hidden="1" x14ac:dyDescent="0.15"/>
    <row r="15456" hidden="1" x14ac:dyDescent="0.15"/>
    <row r="15457" hidden="1" x14ac:dyDescent="0.15"/>
    <row r="15458" hidden="1" x14ac:dyDescent="0.15"/>
    <row r="15459" hidden="1" x14ac:dyDescent="0.15"/>
    <row r="15460" hidden="1" x14ac:dyDescent="0.15"/>
    <row r="15461" hidden="1" x14ac:dyDescent="0.15"/>
    <row r="15462" hidden="1" x14ac:dyDescent="0.15"/>
    <row r="15463" hidden="1" x14ac:dyDescent="0.15"/>
    <row r="15464" hidden="1" x14ac:dyDescent="0.15"/>
    <row r="15465" hidden="1" x14ac:dyDescent="0.15"/>
    <row r="15466" hidden="1" x14ac:dyDescent="0.15"/>
    <row r="15467" hidden="1" x14ac:dyDescent="0.15"/>
    <row r="15468" hidden="1" x14ac:dyDescent="0.15"/>
    <row r="15469" hidden="1" x14ac:dyDescent="0.15"/>
    <row r="15470" hidden="1" x14ac:dyDescent="0.15"/>
    <row r="15471" hidden="1" x14ac:dyDescent="0.15"/>
    <row r="15472" hidden="1" x14ac:dyDescent="0.15"/>
    <row r="15473" hidden="1" x14ac:dyDescent="0.15"/>
    <row r="15474" hidden="1" x14ac:dyDescent="0.15"/>
    <row r="15475" hidden="1" x14ac:dyDescent="0.15"/>
    <row r="15476" hidden="1" x14ac:dyDescent="0.15"/>
    <row r="15477" hidden="1" x14ac:dyDescent="0.15"/>
    <row r="15478" hidden="1" x14ac:dyDescent="0.15"/>
    <row r="15479" hidden="1" x14ac:dyDescent="0.15"/>
    <row r="15480" hidden="1" x14ac:dyDescent="0.15"/>
    <row r="15481" hidden="1" x14ac:dyDescent="0.15"/>
    <row r="15482" hidden="1" x14ac:dyDescent="0.15"/>
    <row r="15483" hidden="1" x14ac:dyDescent="0.15"/>
    <row r="15484" hidden="1" x14ac:dyDescent="0.15"/>
    <row r="15485" hidden="1" x14ac:dyDescent="0.15"/>
    <row r="15486" hidden="1" x14ac:dyDescent="0.15"/>
    <row r="15487" hidden="1" x14ac:dyDescent="0.15"/>
    <row r="15488" hidden="1" x14ac:dyDescent="0.15"/>
    <row r="15489" hidden="1" x14ac:dyDescent="0.15"/>
    <row r="15490" hidden="1" x14ac:dyDescent="0.15"/>
    <row r="15491" hidden="1" x14ac:dyDescent="0.15"/>
    <row r="15492" hidden="1" x14ac:dyDescent="0.15"/>
    <row r="15493" hidden="1" x14ac:dyDescent="0.15"/>
    <row r="15494" hidden="1" x14ac:dyDescent="0.15"/>
    <row r="15495" hidden="1" x14ac:dyDescent="0.15"/>
    <row r="15496" hidden="1" x14ac:dyDescent="0.15"/>
    <row r="15497" hidden="1" x14ac:dyDescent="0.15"/>
    <row r="15498" hidden="1" x14ac:dyDescent="0.15"/>
    <row r="15499" hidden="1" x14ac:dyDescent="0.15"/>
    <row r="15500" hidden="1" x14ac:dyDescent="0.15"/>
    <row r="15501" hidden="1" x14ac:dyDescent="0.15"/>
    <row r="15502" hidden="1" x14ac:dyDescent="0.15"/>
    <row r="15503" hidden="1" x14ac:dyDescent="0.15"/>
    <row r="15504" hidden="1" x14ac:dyDescent="0.15"/>
    <row r="15505" hidden="1" x14ac:dyDescent="0.15"/>
    <row r="15506" hidden="1" x14ac:dyDescent="0.15"/>
    <row r="15507" hidden="1" x14ac:dyDescent="0.15"/>
    <row r="15508" hidden="1" x14ac:dyDescent="0.15"/>
    <row r="15509" hidden="1" x14ac:dyDescent="0.15"/>
    <row r="15510" hidden="1" x14ac:dyDescent="0.15"/>
    <row r="15511" hidden="1" x14ac:dyDescent="0.15"/>
    <row r="15512" hidden="1" x14ac:dyDescent="0.15"/>
    <row r="15513" hidden="1" x14ac:dyDescent="0.15"/>
    <row r="15514" hidden="1" x14ac:dyDescent="0.15"/>
    <row r="15515" hidden="1" x14ac:dyDescent="0.15"/>
    <row r="15516" hidden="1" x14ac:dyDescent="0.15"/>
    <row r="15517" hidden="1" x14ac:dyDescent="0.15"/>
    <row r="15518" hidden="1" x14ac:dyDescent="0.15"/>
    <row r="15519" hidden="1" x14ac:dyDescent="0.15"/>
    <row r="15520" hidden="1" x14ac:dyDescent="0.15"/>
    <row r="15521" hidden="1" x14ac:dyDescent="0.15"/>
    <row r="15522" hidden="1" x14ac:dyDescent="0.15"/>
    <row r="15523" hidden="1" x14ac:dyDescent="0.15"/>
    <row r="15524" hidden="1" x14ac:dyDescent="0.15"/>
    <row r="15525" hidden="1" x14ac:dyDescent="0.15"/>
    <row r="15526" hidden="1" x14ac:dyDescent="0.15"/>
    <row r="15527" hidden="1" x14ac:dyDescent="0.15"/>
    <row r="15528" hidden="1" x14ac:dyDescent="0.15"/>
    <row r="15529" hidden="1" x14ac:dyDescent="0.15"/>
    <row r="15530" hidden="1" x14ac:dyDescent="0.15"/>
    <row r="15531" hidden="1" x14ac:dyDescent="0.15"/>
    <row r="15532" hidden="1" x14ac:dyDescent="0.15"/>
    <row r="15533" hidden="1" x14ac:dyDescent="0.15"/>
    <row r="15534" hidden="1" x14ac:dyDescent="0.15"/>
    <row r="15535" hidden="1" x14ac:dyDescent="0.15"/>
    <row r="15536" hidden="1" x14ac:dyDescent="0.15"/>
    <row r="15537" hidden="1" x14ac:dyDescent="0.15"/>
    <row r="15538" hidden="1" x14ac:dyDescent="0.15"/>
    <row r="15539" hidden="1" x14ac:dyDescent="0.15"/>
    <row r="15540" hidden="1" x14ac:dyDescent="0.15"/>
    <row r="15541" hidden="1" x14ac:dyDescent="0.15"/>
    <row r="15542" hidden="1" x14ac:dyDescent="0.15"/>
    <row r="15543" hidden="1" x14ac:dyDescent="0.15"/>
    <row r="15544" hidden="1" x14ac:dyDescent="0.15"/>
    <row r="15545" hidden="1" x14ac:dyDescent="0.15"/>
    <row r="15546" hidden="1" x14ac:dyDescent="0.15"/>
    <row r="15547" hidden="1" x14ac:dyDescent="0.15"/>
    <row r="15548" hidden="1" x14ac:dyDescent="0.15"/>
    <row r="15549" hidden="1" x14ac:dyDescent="0.15"/>
    <row r="15550" hidden="1" x14ac:dyDescent="0.15"/>
    <row r="15551" hidden="1" x14ac:dyDescent="0.15"/>
    <row r="15552" hidden="1" x14ac:dyDescent="0.15"/>
    <row r="15553" hidden="1" x14ac:dyDescent="0.15"/>
    <row r="15554" hidden="1" x14ac:dyDescent="0.15"/>
    <row r="15555" hidden="1" x14ac:dyDescent="0.15"/>
    <row r="15556" hidden="1" x14ac:dyDescent="0.15"/>
    <row r="15557" hidden="1" x14ac:dyDescent="0.15"/>
    <row r="15558" hidden="1" x14ac:dyDescent="0.15"/>
    <row r="15559" hidden="1" x14ac:dyDescent="0.15"/>
    <row r="15560" hidden="1" x14ac:dyDescent="0.15"/>
    <row r="15561" hidden="1" x14ac:dyDescent="0.15"/>
    <row r="15562" hidden="1" x14ac:dyDescent="0.15"/>
    <row r="15563" hidden="1" x14ac:dyDescent="0.15"/>
    <row r="15564" hidden="1" x14ac:dyDescent="0.15"/>
    <row r="15565" hidden="1" x14ac:dyDescent="0.15"/>
    <row r="15566" hidden="1" x14ac:dyDescent="0.15"/>
    <row r="15567" hidden="1" x14ac:dyDescent="0.15"/>
    <row r="15568" hidden="1" x14ac:dyDescent="0.15"/>
    <row r="15569" hidden="1" x14ac:dyDescent="0.15"/>
    <row r="15570" hidden="1" x14ac:dyDescent="0.15"/>
    <row r="15571" hidden="1" x14ac:dyDescent="0.15"/>
    <row r="15572" hidden="1" x14ac:dyDescent="0.15"/>
    <row r="15573" hidden="1" x14ac:dyDescent="0.15"/>
    <row r="15574" hidden="1" x14ac:dyDescent="0.15"/>
    <row r="15575" hidden="1" x14ac:dyDescent="0.15"/>
    <row r="15576" hidden="1" x14ac:dyDescent="0.15"/>
    <row r="15577" hidden="1" x14ac:dyDescent="0.15"/>
    <row r="15578" hidden="1" x14ac:dyDescent="0.15"/>
    <row r="15579" hidden="1" x14ac:dyDescent="0.15"/>
    <row r="15580" hidden="1" x14ac:dyDescent="0.15"/>
    <row r="15581" hidden="1" x14ac:dyDescent="0.15"/>
    <row r="15582" hidden="1" x14ac:dyDescent="0.15"/>
    <row r="15583" hidden="1" x14ac:dyDescent="0.15"/>
    <row r="15584" hidden="1" x14ac:dyDescent="0.15"/>
    <row r="15585" hidden="1" x14ac:dyDescent="0.15"/>
    <row r="15586" hidden="1" x14ac:dyDescent="0.15"/>
    <row r="15587" hidden="1" x14ac:dyDescent="0.15"/>
    <row r="15588" hidden="1" x14ac:dyDescent="0.15"/>
    <row r="15589" hidden="1" x14ac:dyDescent="0.15"/>
    <row r="15590" hidden="1" x14ac:dyDescent="0.15"/>
    <row r="15591" hidden="1" x14ac:dyDescent="0.15"/>
    <row r="15592" hidden="1" x14ac:dyDescent="0.15"/>
    <row r="15593" hidden="1" x14ac:dyDescent="0.15"/>
    <row r="15594" hidden="1" x14ac:dyDescent="0.15"/>
    <row r="15595" hidden="1" x14ac:dyDescent="0.15"/>
    <row r="15596" hidden="1" x14ac:dyDescent="0.15"/>
    <row r="15597" hidden="1" x14ac:dyDescent="0.15"/>
    <row r="15598" hidden="1" x14ac:dyDescent="0.15"/>
    <row r="15599" hidden="1" x14ac:dyDescent="0.15"/>
    <row r="15600" hidden="1" x14ac:dyDescent="0.15"/>
    <row r="15601" hidden="1" x14ac:dyDescent="0.15"/>
    <row r="15602" hidden="1" x14ac:dyDescent="0.15"/>
    <row r="15603" hidden="1" x14ac:dyDescent="0.15"/>
    <row r="15604" hidden="1" x14ac:dyDescent="0.15"/>
    <row r="15605" hidden="1" x14ac:dyDescent="0.15"/>
    <row r="15606" hidden="1" x14ac:dyDescent="0.15"/>
    <row r="15607" hidden="1" x14ac:dyDescent="0.15"/>
    <row r="15608" hidden="1" x14ac:dyDescent="0.15"/>
    <row r="15609" hidden="1" x14ac:dyDescent="0.15"/>
    <row r="15610" hidden="1" x14ac:dyDescent="0.15"/>
    <row r="15611" hidden="1" x14ac:dyDescent="0.15"/>
    <row r="15612" hidden="1" x14ac:dyDescent="0.15"/>
    <row r="15613" hidden="1" x14ac:dyDescent="0.15"/>
    <row r="15614" hidden="1" x14ac:dyDescent="0.15"/>
    <row r="15615" hidden="1" x14ac:dyDescent="0.15"/>
    <row r="15616" hidden="1" x14ac:dyDescent="0.15"/>
    <row r="15617" hidden="1" x14ac:dyDescent="0.15"/>
    <row r="15618" hidden="1" x14ac:dyDescent="0.15"/>
    <row r="15619" hidden="1" x14ac:dyDescent="0.15"/>
    <row r="15620" hidden="1" x14ac:dyDescent="0.15"/>
    <row r="15621" hidden="1" x14ac:dyDescent="0.15"/>
    <row r="15622" hidden="1" x14ac:dyDescent="0.15"/>
    <row r="15623" hidden="1" x14ac:dyDescent="0.15"/>
    <row r="15624" hidden="1" x14ac:dyDescent="0.15"/>
    <row r="15625" hidden="1" x14ac:dyDescent="0.15"/>
    <row r="15626" hidden="1" x14ac:dyDescent="0.15"/>
    <row r="15627" hidden="1" x14ac:dyDescent="0.15"/>
    <row r="15628" hidden="1" x14ac:dyDescent="0.15"/>
    <row r="15629" hidden="1" x14ac:dyDescent="0.15"/>
    <row r="15630" hidden="1" x14ac:dyDescent="0.15"/>
    <row r="15631" hidden="1" x14ac:dyDescent="0.15"/>
    <row r="15632" hidden="1" x14ac:dyDescent="0.15"/>
    <row r="15633" hidden="1" x14ac:dyDescent="0.15"/>
    <row r="15634" hidden="1" x14ac:dyDescent="0.15"/>
    <row r="15635" hidden="1" x14ac:dyDescent="0.15"/>
    <row r="15636" hidden="1" x14ac:dyDescent="0.15"/>
    <row r="15637" hidden="1" x14ac:dyDescent="0.15"/>
    <row r="15638" hidden="1" x14ac:dyDescent="0.15"/>
    <row r="15639" hidden="1" x14ac:dyDescent="0.15"/>
    <row r="15640" hidden="1" x14ac:dyDescent="0.15"/>
    <row r="15641" hidden="1" x14ac:dyDescent="0.15"/>
    <row r="15642" hidden="1" x14ac:dyDescent="0.15"/>
    <row r="15643" hidden="1" x14ac:dyDescent="0.15"/>
    <row r="15644" hidden="1" x14ac:dyDescent="0.15"/>
    <row r="15645" hidden="1" x14ac:dyDescent="0.15"/>
    <row r="15646" hidden="1" x14ac:dyDescent="0.15"/>
    <row r="15647" hidden="1" x14ac:dyDescent="0.15"/>
    <row r="15648" hidden="1" x14ac:dyDescent="0.15"/>
    <row r="15649" hidden="1" x14ac:dyDescent="0.15"/>
    <row r="15650" hidden="1" x14ac:dyDescent="0.15"/>
    <row r="15651" hidden="1" x14ac:dyDescent="0.15"/>
    <row r="15652" hidden="1" x14ac:dyDescent="0.15"/>
    <row r="15653" hidden="1" x14ac:dyDescent="0.15"/>
    <row r="15654" hidden="1" x14ac:dyDescent="0.15"/>
    <row r="15655" hidden="1" x14ac:dyDescent="0.15"/>
    <row r="15656" hidden="1" x14ac:dyDescent="0.15"/>
    <row r="15657" hidden="1" x14ac:dyDescent="0.15"/>
    <row r="15658" hidden="1" x14ac:dyDescent="0.15"/>
    <row r="15659" hidden="1" x14ac:dyDescent="0.15"/>
    <row r="15660" hidden="1" x14ac:dyDescent="0.15"/>
    <row r="15661" hidden="1" x14ac:dyDescent="0.15"/>
    <row r="15662" hidden="1" x14ac:dyDescent="0.15"/>
    <row r="15663" hidden="1" x14ac:dyDescent="0.15"/>
    <row r="15664" hidden="1" x14ac:dyDescent="0.15"/>
    <row r="15665" hidden="1" x14ac:dyDescent="0.15"/>
    <row r="15666" hidden="1" x14ac:dyDescent="0.15"/>
    <row r="15667" hidden="1" x14ac:dyDescent="0.15"/>
    <row r="15668" hidden="1" x14ac:dyDescent="0.15"/>
    <row r="15669" hidden="1" x14ac:dyDescent="0.15"/>
    <row r="15670" hidden="1" x14ac:dyDescent="0.15"/>
    <row r="15671" hidden="1" x14ac:dyDescent="0.15"/>
    <row r="15672" hidden="1" x14ac:dyDescent="0.15"/>
    <row r="15673" hidden="1" x14ac:dyDescent="0.15"/>
    <row r="15674" hidden="1" x14ac:dyDescent="0.15"/>
    <row r="15675" hidden="1" x14ac:dyDescent="0.15"/>
    <row r="15676" hidden="1" x14ac:dyDescent="0.15"/>
    <row r="15677" hidden="1" x14ac:dyDescent="0.15"/>
    <row r="15678" hidden="1" x14ac:dyDescent="0.15"/>
    <row r="15679" hidden="1" x14ac:dyDescent="0.15"/>
    <row r="15680" hidden="1" x14ac:dyDescent="0.15"/>
    <row r="15681" hidden="1" x14ac:dyDescent="0.15"/>
    <row r="15682" hidden="1" x14ac:dyDescent="0.15"/>
    <row r="15683" hidden="1" x14ac:dyDescent="0.15"/>
    <row r="15684" hidden="1" x14ac:dyDescent="0.15"/>
    <row r="15685" hidden="1" x14ac:dyDescent="0.15"/>
    <row r="15686" hidden="1" x14ac:dyDescent="0.15"/>
    <row r="15687" hidden="1" x14ac:dyDescent="0.15"/>
    <row r="15688" hidden="1" x14ac:dyDescent="0.15"/>
    <row r="15689" hidden="1" x14ac:dyDescent="0.15"/>
    <row r="15690" hidden="1" x14ac:dyDescent="0.15"/>
    <row r="15691" hidden="1" x14ac:dyDescent="0.15"/>
    <row r="15692" hidden="1" x14ac:dyDescent="0.15"/>
    <row r="15693" hidden="1" x14ac:dyDescent="0.15"/>
    <row r="15694" hidden="1" x14ac:dyDescent="0.15"/>
    <row r="15695" hidden="1" x14ac:dyDescent="0.15"/>
    <row r="15696" hidden="1" x14ac:dyDescent="0.15"/>
    <row r="15697" hidden="1" x14ac:dyDescent="0.15"/>
    <row r="15698" hidden="1" x14ac:dyDescent="0.15"/>
    <row r="15699" hidden="1" x14ac:dyDescent="0.15"/>
    <row r="15700" hidden="1" x14ac:dyDescent="0.15"/>
    <row r="15701" hidden="1" x14ac:dyDescent="0.15"/>
    <row r="15702" hidden="1" x14ac:dyDescent="0.15"/>
    <row r="15703" hidden="1" x14ac:dyDescent="0.15"/>
    <row r="15704" hidden="1" x14ac:dyDescent="0.15"/>
    <row r="15705" hidden="1" x14ac:dyDescent="0.15"/>
    <row r="15706" hidden="1" x14ac:dyDescent="0.15"/>
    <row r="15707" hidden="1" x14ac:dyDescent="0.15"/>
    <row r="15708" hidden="1" x14ac:dyDescent="0.15"/>
    <row r="15709" hidden="1" x14ac:dyDescent="0.15"/>
    <row r="15710" hidden="1" x14ac:dyDescent="0.15"/>
    <row r="15711" hidden="1" x14ac:dyDescent="0.15"/>
    <row r="15712" hidden="1" x14ac:dyDescent="0.15"/>
    <row r="15713" hidden="1" x14ac:dyDescent="0.15"/>
    <row r="15714" hidden="1" x14ac:dyDescent="0.15"/>
    <row r="15715" hidden="1" x14ac:dyDescent="0.15"/>
    <row r="15716" hidden="1" x14ac:dyDescent="0.15"/>
    <row r="15717" hidden="1" x14ac:dyDescent="0.15"/>
    <row r="15718" hidden="1" x14ac:dyDescent="0.15"/>
    <row r="15719" hidden="1" x14ac:dyDescent="0.15"/>
    <row r="15720" hidden="1" x14ac:dyDescent="0.15"/>
    <row r="15721" hidden="1" x14ac:dyDescent="0.15"/>
    <row r="15722" hidden="1" x14ac:dyDescent="0.15"/>
    <row r="15723" hidden="1" x14ac:dyDescent="0.15"/>
    <row r="15724" hidden="1" x14ac:dyDescent="0.15"/>
    <row r="15725" hidden="1" x14ac:dyDescent="0.15"/>
    <row r="15726" hidden="1" x14ac:dyDescent="0.15"/>
    <row r="15727" hidden="1" x14ac:dyDescent="0.15"/>
    <row r="15728" hidden="1" x14ac:dyDescent="0.15"/>
    <row r="15729" hidden="1" x14ac:dyDescent="0.15"/>
    <row r="15730" hidden="1" x14ac:dyDescent="0.15"/>
    <row r="15731" hidden="1" x14ac:dyDescent="0.15"/>
    <row r="15732" hidden="1" x14ac:dyDescent="0.15"/>
    <row r="15733" hidden="1" x14ac:dyDescent="0.15"/>
    <row r="15734" hidden="1" x14ac:dyDescent="0.15"/>
    <row r="15735" hidden="1" x14ac:dyDescent="0.15"/>
    <row r="15736" hidden="1" x14ac:dyDescent="0.15"/>
    <row r="15737" hidden="1" x14ac:dyDescent="0.15"/>
    <row r="15738" hidden="1" x14ac:dyDescent="0.15"/>
    <row r="15739" hidden="1" x14ac:dyDescent="0.15"/>
    <row r="15740" hidden="1" x14ac:dyDescent="0.15"/>
    <row r="15741" hidden="1" x14ac:dyDescent="0.15"/>
    <row r="15742" hidden="1" x14ac:dyDescent="0.15"/>
    <row r="15743" hidden="1" x14ac:dyDescent="0.15"/>
    <row r="15744" hidden="1" x14ac:dyDescent="0.15"/>
    <row r="15745" hidden="1" x14ac:dyDescent="0.15"/>
    <row r="15746" hidden="1" x14ac:dyDescent="0.15"/>
    <row r="15747" hidden="1" x14ac:dyDescent="0.15"/>
    <row r="15748" hidden="1" x14ac:dyDescent="0.15"/>
    <row r="15749" hidden="1" x14ac:dyDescent="0.15"/>
    <row r="15750" hidden="1" x14ac:dyDescent="0.15"/>
    <row r="15751" hidden="1" x14ac:dyDescent="0.15"/>
    <row r="15752" hidden="1" x14ac:dyDescent="0.15"/>
    <row r="15753" hidden="1" x14ac:dyDescent="0.15"/>
    <row r="15754" hidden="1" x14ac:dyDescent="0.15"/>
    <row r="15755" hidden="1" x14ac:dyDescent="0.15"/>
    <row r="15756" hidden="1" x14ac:dyDescent="0.15"/>
    <row r="15757" hidden="1" x14ac:dyDescent="0.15"/>
    <row r="15758" hidden="1" x14ac:dyDescent="0.15"/>
    <row r="15759" hidden="1" x14ac:dyDescent="0.15"/>
    <row r="15760" hidden="1" x14ac:dyDescent="0.15"/>
    <row r="15761" hidden="1" x14ac:dyDescent="0.15"/>
    <row r="15762" hidden="1" x14ac:dyDescent="0.15"/>
    <row r="15763" hidden="1" x14ac:dyDescent="0.15"/>
    <row r="15764" hidden="1" x14ac:dyDescent="0.15"/>
    <row r="15765" hidden="1" x14ac:dyDescent="0.15"/>
    <row r="15766" hidden="1" x14ac:dyDescent="0.15"/>
    <row r="15767" hidden="1" x14ac:dyDescent="0.15"/>
    <row r="15768" hidden="1" x14ac:dyDescent="0.15"/>
    <row r="15769" hidden="1" x14ac:dyDescent="0.15"/>
    <row r="15770" hidden="1" x14ac:dyDescent="0.15"/>
    <row r="15771" hidden="1" x14ac:dyDescent="0.15"/>
    <row r="15772" hidden="1" x14ac:dyDescent="0.15"/>
    <row r="15773" hidden="1" x14ac:dyDescent="0.15"/>
    <row r="15774" hidden="1" x14ac:dyDescent="0.15"/>
    <row r="15775" hidden="1" x14ac:dyDescent="0.15"/>
    <row r="15776" hidden="1" x14ac:dyDescent="0.15"/>
    <row r="15777" hidden="1" x14ac:dyDescent="0.15"/>
    <row r="15778" hidden="1" x14ac:dyDescent="0.15"/>
    <row r="15779" hidden="1" x14ac:dyDescent="0.15"/>
    <row r="15780" hidden="1" x14ac:dyDescent="0.15"/>
    <row r="15781" hidden="1" x14ac:dyDescent="0.15"/>
    <row r="15782" hidden="1" x14ac:dyDescent="0.15"/>
    <row r="15783" hidden="1" x14ac:dyDescent="0.15"/>
    <row r="15784" hidden="1" x14ac:dyDescent="0.15"/>
    <row r="15785" hidden="1" x14ac:dyDescent="0.15"/>
    <row r="15786" hidden="1" x14ac:dyDescent="0.15"/>
    <row r="15787" hidden="1" x14ac:dyDescent="0.15"/>
    <row r="15788" hidden="1" x14ac:dyDescent="0.15"/>
    <row r="15789" hidden="1" x14ac:dyDescent="0.15"/>
    <row r="15790" hidden="1" x14ac:dyDescent="0.15"/>
    <row r="15791" hidden="1" x14ac:dyDescent="0.15"/>
    <row r="15792" hidden="1" x14ac:dyDescent="0.15"/>
    <row r="15793" hidden="1" x14ac:dyDescent="0.15"/>
    <row r="15794" hidden="1" x14ac:dyDescent="0.15"/>
    <row r="15795" hidden="1" x14ac:dyDescent="0.15"/>
    <row r="15796" hidden="1" x14ac:dyDescent="0.15"/>
    <row r="15797" hidden="1" x14ac:dyDescent="0.15"/>
    <row r="15798" hidden="1" x14ac:dyDescent="0.15"/>
    <row r="15799" hidden="1" x14ac:dyDescent="0.15"/>
    <row r="15800" hidden="1" x14ac:dyDescent="0.15"/>
    <row r="15801" hidden="1" x14ac:dyDescent="0.15"/>
    <row r="15802" hidden="1" x14ac:dyDescent="0.15"/>
    <row r="15803" hidden="1" x14ac:dyDescent="0.15"/>
    <row r="15804" hidden="1" x14ac:dyDescent="0.15"/>
    <row r="15805" hidden="1" x14ac:dyDescent="0.15"/>
    <row r="15806" hidden="1" x14ac:dyDescent="0.15"/>
    <row r="15807" hidden="1" x14ac:dyDescent="0.15"/>
    <row r="15808" hidden="1" x14ac:dyDescent="0.15"/>
    <row r="15809" hidden="1" x14ac:dyDescent="0.15"/>
    <row r="15810" hidden="1" x14ac:dyDescent="0.15"/>
    <row r="15811" hidden="1" x14ac:dyDescent="0.15"/>
    <row r="15812" hidden="1" x14ac:dyDescent="0.15"/>
    <row r="15813" hidden="1" x14ac:dyDescent="0.15"/>
    <row r="15814" hidden="1" x14ac:dyDescent="0.15"/>
    <row r="15815" hidden="1" x14ac:dyDescent="0.15"/>
    <row r="15816" hidden="1" x14ac:dyDescent="0.15"/>
    <row r="15817" hidden="1" x14ac:dyDescent="0.15"/>
    <row r="15818" hidden="1" x14ac:dyDescent="0.15"/>
    <row r="15819" hidden="1" x14ac:dyDescent="0.15"/>
    <row r="15820" hidden="1" x14ac:dyDescent="0.15"/>
    <row r="15821" hidden="1" x14ac:dyDescent="0.15"/>
    <row r="15822" hidden="1" x14ac:dyDescent="0.15"/>
    <row r="15823" hidden="1" x14ac:dyDescent="0.15"/>
    <row r="15824" hidden="1" x14ac:dyDescent="0.15"/>
    <row r="15825" hidden="1" x14ac:dyDescent="0.15"/>
    <row r="15826" hidden="1" x14ac:dyDescent="0.15"/>
    <row r="15827" hidden="1" x14ac:dyDescent="0.15"/>
    <row r="15828" hidden="1" x14ac:dyDescent="0.15"/>
    <row r="15829" hidden="1" x14ac:dyDescent="0.15"/>
    <row r="15830" hidden="1" x14ac:dyDescent="0.15"/>
    <row r="15831" hidden="1" x14ac:dyDescent="0.15"/>
    <row r="15832" hidden="1" x14ac:dyDescent="0.15"/>
    <row r="15833" hidden="1" x14ac:dyDescent="0.15"/>
    <row r="15834" hidden="1" x14ac:dyDescent="0.15"/>
    <row r="15835" hidden="1" x14ac:dyDescent="0.15"/>
    <row r="15836" hidden="1" x14ac:dyDescent="0.15"/>
    <row r="15837" hidden="1" x14ac:dyDescent="0.15"/>
    <row r="15838" hidden="1" x14ac:dyDescent="0.15"/>
    <row r="15839" hidden="1" x14ac:dyDescent="0.15"/>
    <row r="15840" hidden="1" x14ac:dyDescent="0.15"/>
    <row r="15841" hidden="1" x14ac:dyDescent="0.15"/>
    <row r="15842" hidden="1" x14ac:dyDescent="0.15"/>
    <row r="15843" hidden="1" x14ac:dyDescent="0.15"/>
    <row r="15844" hidden="1" x14ac:dyDescent="0.15"/>
    <row r="15845" hidden="1" x14ac:dyDescent="0.15"/>
    <row r="15846" hidden="1" x14ac:dyDescent="0.15"/>
    <row r="15847" hidden="1" x14ac:dyDescent="0.15"/>
    <row r="15848" hidden="1" x14ac:dyDescent="0.15"/>
    <row r="15849" hidden="1" x14ac:dyDescent="0.15"/>
    <row r="15850" hidden="1" x14ac:dyDescent="0.15"/>
    <row r="15851" hidden="1" x14ac:dyDescent="0.15"/>
    <row r="15852" hidden="1" x14ac:dyDescent="0.15"/>
    <row r="15853" hidden="1" x14ac:dyDescent="0.15"/>
    <row r="15854" hidden="1" x14ac:dyDescent="0.15"/>
    <row r="15855" hidden="1" x14ac:dyDescent="0.15"/>
    <row r="15856" hidden="1" x14ac:dyDescent="0.15"/>
    <row r="15857" hidden="1" x14ac:dyDescent="0.15"/>
    <row r="15858" hidden="1" x14ac:dyDescent="0.15"/>
    <row r="15859" hidden="1" x14ac:dyDescent="0.15"/>
    <row r="15860" hidden="1" x14ac:dyDescent="0.15"/>
    <row r="15861" hidden="1" x14ac:dyDescent="0.15"/>
    <row r="15862" hidden="1" x14ac:dyDescent="0.15"/>
    <row r="15863" hidden="1" x14ac:dyDescent="0.15"/>
    <row r="15864" hidden="1" x14ac:dyDescent="0.15"/>
    <row r="15865" hidden="1" x14ac:dyDescent="0.15"/>
    <row r="15866" hidden="1" x14ac:dyDescent="0.15"/>
    <row r="15867" hidden="1" x14ac:dyDescent="0.15"/>
    <row r="15868" hidden="1" x14ac:dyDescent="0.15"/>
    <row r="15869" hidden="1" x14ac:dyDescent="0.15"/>
    <row r="15870" hidden="1" x14ac:dyDescent="0.15"/>
    <row r="15871" hidden="1" x14ac:dyDescent="0.15"/>
    <row r="15872" hidden="1" x14ac:dyDescent="0.15"/>
    <row r="15873" hidden="1" x14ac:dyDescent="0.15"/>
    <row r="15874" hidden="1" x14ac:dyDescent="0.15"/>
    <row r="15875" hidden="1" x14ac:dyDescent="0.15"/>
    <row r="15876" hidden="1" x14ac:dyDescent="0.15"/>
    <row r="15877" hidden="1" x14ac:dyDescent="0.15"/>
    <row r="15878" hidden="1" x14ac:dyDescent="0.15"/>
    <row r="15879" hidden="1" x14ac:dyDescent="0.15"/>
    <row r="15880" hidden="1" x14ac:dyDescent="0.15"/>
    <row r="15881" hidden="1" x14ac:dyDescent="0.15"/>
    <row r="15882" hidden="1" x14ac:dyDescent="0.15"/>
    <row r="15883" hidden="1" x14ac:dyDescent="0.15"/>
    <row r="15884" hidden="1" x14ac:dyDescent="0.15"/>
    <row r="15885" hidden="1" x14ac:dyDescent="0.15"/>
    <row r="15886" hidden="1" x14ac:dyDescent="0.15"/>
    <row r="15887" hidden="1" x14ac:dyDescent="0.15"/>
    <row r="15888" hidden="1" x14ac:dyDescent="0.15"/>
    <row r="15889" hidden="1" x14ac:dyDescent="0.15"/>
    <row r="15890" hidden="1" x14ac:dyDescent="0.15"/>
    <row r="15891" hidden="1" x14ac:dyDescent="0.15"/>
    <row r="15892" hidden="1" x14ac:dyDescent="0.15"/>
    <row r="15893" hidden="1" x14ac:dyDescent="0.15"/>
    <row r="15894" hidden="1" x14ac:dyDescent="0.15"/>
    <row r="15895" hidden="1" x14ac:dyDescent="0.15"/>
    <row r="15896" hidden="1" x14ac:dyDescent="0.15"/>
    <row r="15897" hidden="1" x14ac:dyDescent="0.15"/>
    <row r="15898" hidden="1" x14ac:dyDescent="0.15"/>
    <row r="15899" hidden="1" x14ac:dyDescent="0.15"/>
    <row r="15900" hidden="1" x14ac:dyDescent="0.15"/>
    <row r="15901" hidden="1" x14ac:dyDescent="0.15"/>
    <row r="15902" hidden="1" x14ac:dyDescent="0.15"/>
    <row r="15903" hidden="1" x14ac:dyDescent="0.15"/>
    <row r="15904" hidden="1" x14ac:dyDescent="0.15"/>
    <row r="15905" hidden="1" x14ac:dyDescent="0.15"/>
    <row r="15906" hidden="1" x14ac:dyDescent="0.15"/>
    <row r="15907" hidden="1" x14ac:dyDescent="0.15"/>
    <row r="15908" hidden="1" x14ac:dyDescent="0.15"/>
    <row r="15909" hidden="1" x14ac:dyDescent="0.15"/>
    <row r="15910" hidden="1" x14ac:dyDescent="0.15"/>
    <row r="15911" hidden="1" x14ac:dyDescent="0.15"/>
    <row r="15912" hidden="1" x14ac:dyDescent="0.15"/>
    <row r="15913" hidden="1" x14ac:dyDescent="0.15"/>
    <row r="15914" hidden="1" x14ac:dyDescent="0.15"/>
    <row r="15915" hidden="1" x14ac:dyDescent="0.15"/>
    <row r="15916" hidden="1" x14ac:dyDescent="0.15"/>
    <row r="15917" hidden="1" x14ac:dyDescent="0.15"/>
    <row r="15918" hidden="1" x14ac:dyDescent="0.15"/>
    <row r="15919" hidden="1" x14ac:dyDescent="0.15"/>
    <row r="15920" hidden="1" x14ac:dyDescent="0.15"/>
    <row r="15921" hidden="1" x14ac:dyDescent="0.15"/>
    <row r="15922" hidden="1" x14ac:dyDescent="0.15"/>
    <row r="15923" hidden="1" x14ac:dyDescent="0.15"/>
    <row r="15924" hidden="1" x14ac:dyDescent="0.15"/>
    <row r="15925" hidden="1" x14ac:dyDescent="0.15"/>
    <row r="15926" hidden="1" x14ac:dyDescent="0.15"/>
    <row r="15927" hidden="1" x14ac:dyDescent="0.15"/>
    <row r="15928" hidden="1" x14ac:dyDescent="0.15"/>
    <row r="15929" hidden="1" x14ac:dyDescent="0.15"/>
    <row r="15930" hidden="1" x14ac:dyDescent="0.15"/>
    <row r="15931" hidden="1" x14ac:dyDescent="0.15"/>
    <row r="15932" hidden="1" x14ac:dyDescent="0.15"/>
    <row r="15933" hidden="1" x14ac:dyDescent="0.15"/>
    <row r="15934" hidden="1" x14ac:dyDescent="0.15"/>
    <row r="15935" hidden="1" x14ac:dyDescent="0.15"/>
    <row r="15936" hidden="1" x14ac:dyDescent="0.15"/>
    <row r="15937" hidden="1" x14ac:dyDescent="0.15"/>
    <row r="15938" hidden="1" x14ac:dyDescent="0.15"/>
    <row r="15939" hidden="1" x14ac:dyDescent="0.15"/>
    <row r="15940" hidden="1" x14ac:dyDescent="0.15"/>
    <row r="15941" hidden="1" x14ac:dyDescent="0.15"/>
    <row r="15942" hidden="1" x14ac:dyDescent="0.15"/>
    <row r="15943" hidden="1" x14ac:dyDescent="0.15"/>
    <row r="15944" hidden="1" x14ac:dyDescent="0.15"/>
    <row r="15945" hidden="1" x14ac:dyDescent="0.15"/>
    <row r="15946" hidden="1" x14ac:dyDescent="0.15"/>
    <row r="15947" hidden="1" x14ac:dyDescent="0.15"/>
    <row r="15948" hidden="1" x14ac:dyDescent="0.15"/>
    <row r="15949" hidden="1" x14ac:dyDescent="0.15"/>
    <row r="15950" hidden="1" x14ac:dyDescent="0.15"/>
    <row r="15951" hidden="1" x14ac:dyDescent="0.15"/>
    <row r="15952" hidden="1" x14ac:dyDescent="0.15"/>
    <row r="15953" hidden="1" x14ac:dyDescent="0.15"/>
    <row r="15954" hidden="1" x14ac:dyDescent="0.15"/>
    <row r="15955" hidden="1" x14ac:dyDescent="0.15"/>
    <row r="15956" hidden="1" x14ac:dyDescent="0.15"/>
    <row r="15957" hidden="1" x14ac:dyDescent="0.15"/>
    <row r="15958" hidden="1" x14ac:dyDescent="0.15"/>
    <row r="15959" hidden="1" x14ac:dyDescent="0.15"/>
    <row r="15960" hidden="1" x14ac:dyDescent="0.15"/>
    <row r="15961" hidden="1" x14ac:dyDescent="0.15"/>
    <row r="15962" hidden="1" x14ac:dyDescent="0.15"/>
    <row r="15963" hidden="1" x14ac:dyDescent="0.15"/>
    <row r="15964" hidden="1" x14ac:dyDescent="0.15"/>
    <row r="15965" hidden="1" x14ac:dyDescent="0.15"/>
    <row r="15966" hidden="1" x14ac:dyDescent="0.15"/>
    <row r="15967" hidden="1" x14ac:dyDescent="0.15"/>
    <row r="15968" hidden="1" x14ac:dyDescent="0.15"/>
    <row r="15969" hidden="1" x14ac:dyDescent="0.15"/>
    <row r="15970" hidden="1" x14ac:dyDescent="0.15"/>
    <row r="15971" hidden="1" x14ac:dyDescent="0.15"/>
    <row r="15972" hidden="1" x14ac:dyDescent="0.15"/>
    <row r="15973" hidden="1" x14ac:dyDescent="0.15"/>
    <row r="15974" hidden="1" x14ac:dyDescent="0.15"/>
    <row r="15975" hidden="1" x14ac:dyDescent="0.15"/>
    <row r="15976" hidden="1" x14ac:dyDescent="0.15"/>
    <row r="15977" hidden="1" x14ac:dyDescent="0.15"/>
    <row r="15978" hidden="1" x14ac:dyDescent="0.15"/>
    <row r="15979" hidden="1" x14ac:dyDescent="0.15"/>
    <row r="15980" hidden="1" x14ac:dyDescent="0.15"/>
    <row r="15981" hidden="1" x14ac:dyDescent="0.15"/>
    <row r="15982" hidden="1" x14ac:dyDescent="0.15"/>
    <row r="15983" hidden="1" x14ac:dyDescent="0.15"/>
    <row r="15984" hidden="1" x14ac:dyDescent="0.15"/>
    <row r="15985" hidden="1" x14ac:dyDescent="0.15"/>
    <row r="15986" hidden="1" x14ac:dyDescent="0.15"/>
    <row r="15987" hidden="1" x14ac:dyDescent="0.15"/>
    <row r="15988" hidden="1" x14ac:dyDescent="0.15"/>
    <row r="15989" hidden="1" x14ac:dyDescent="0.15"/>
    <row r="15990" hidden="1" x14ac:dyDescent="0.15"/>
    <row r="15991" hidden="1" x14ac:dyDescent="0.15"/>
    <row r="15992" hidden="1" x14ac:dyDescent="0.15"/>
    <row r="15993" hidden="1" x14ac:dyDescent="0.15"/>
    <row r="15994" hidden="1" x14ac:dyDescent="0.15"/>
    <row r="15995" hidden="1" x14ac:dyDescent="0.15"/>
    <row r="15996" hidden="1" x14ac:dyDescent="0.15"/>
    <row r="15997" hidden="1" x14ac:dyDescent="0.15"/>
    <row r="15998" hidden="1" x14ac:dyDescent="0.15"/>
    <row r="15999" hidden="1" x14ac:dyDescent="0.15"/>
    <row r="16000" hidden="1" x14ac:dyDescent="0.15"/>
    <row r="16001" hidden="1" x14ac:dyDescent="0.15"/>
    <row r="16002" hidden="1" x14ac:dyDescent="0.15"/>
    <row r="16003" hidden="1" x14ac:dyDescent="0.15"/>
    <row r="16004" hidden="1" x14ac:dyDescent="0.15"/>
    <row r="16005" hidden="1" x14ac:dyDescent="0.15"/>
    <row r="16006" hidden="1" x14ac:dyDescent="0.15"/>
    <row r="16007" hidden="1" x14ac:dyDescent="0.15"/>
    <row r="16008" hidden="1" x14ac:dyDescent="0.15"/>
    <row r="16009" hidden="1" x14ac:dyDescent="0.15"/>
    <row r="16010" hidden="1" x14ac:dyDescent="0.15"/>
    <row r="16011" hidden="1" x14ac:dyDescent="0.15"/>
    <row r="16012" hidden="1" x14ac:dyDescent="0.15"/>
    <row r="16013" hidden="1" x14ac:dyDescent="0.15"/>
    <row r="16014" hidden="1" x14ac:dyDescent="0.15"/>
    <row r="16015" hidden="1" x14ac:dyDescent="0.15"/>
    <row r="16016" hidden="1" x14ac:dyDescent="0.15"/>
    <row r="16017" hidden="1" x14ac:dyDescent="0.15"/>
    <row r="16018" hidden="1" x14ac:dyDescent="0.15"/>
    <row r="16019" hidden="1" x14ac:dyDescent="0.15"/>
    <row r="16020" hidden="1" x14ac:dyDescent="0.15"/>
    <row r="16021" hidden="1" x14ac:dyDescent="0.15"/>
    <row r="16022" hidden="1" x14ac:dyDescent="0.15"/>
    <row r="16023" hidden="1" x14ac:dyDescent="0.15"/>
    <row r="16024" hidden="1" x14ac:dyDescent="0.15"/>
    <row r="16025" hidden="1" x14ac:dyDescent="0.15"/>
    <row r="16026" hidden="1" x14ac:dyDescent="0.15"/>
    <row r="16027" hidden="1" x14ac:dyDescent="0.15"/>
    <row r="16028" hidden="1" x14ac:dyDescent="0.15"/>
    <row r="16029" hidden="1" x14ac:dyDescent="0.15"/>
    <row r="16030" hidden="1" x14ac:dyDescent="0.15"/>
    <row r="16031" hidden="1" x14ac:dyDescent="0.15"/>
    <row r="16032" hidden="1" x14ac:dyDescent="0.15"/>
    <row r="16033" hidden="1" x14ac:dyDescent="0.15"/>
    <row r="16034" hidden="1" x14ac:dyDescent="0.15"/>
    <row r="16035" hidden="1" x14ac:dyDescent="0.15"/>
    <row r="16036" hidden="1" x14ac:dyDescent="0.15"/>
    <row r="16037" hidden="1" x14ac:dyDescent="0.15"/>
    <row r="16038" hidden="1" x14ac:dyDescent="0.15"/>
    <row r="16039" hidden="1" x14ac:dyDescent="0.15"/>
    <row r="16040" hidden="1" x14ac:dyDescent="0.15"/>
    <row r="16041" hidden="1" x14ac:dyDescent="0.15"/>
    <row r="16042" hidden="1" x14ac:dyDescent="0.15"/>
    <row r="16043" hidden="1" x14ac:dyDescent="0.15"/>
    <row r="16044" hidden="1" x14ac:dyDescent="0.15"/>
    <row r="16045" hidden="1" x14ac:dyDescent="0.15"/>
    <row r="16046" hidden="1" x14ac:dyDescent="0.15"/>
    <row r="16047" hidden="1" x14ac:dyDescent="0.15"/>
    <row r="16048" hidden="1" x14ac:dyDescent="0.15"/>
    <row r="16049" hidden="1" x14ac:dyDescent="0.15"/>
    <row r="16050" hidden="1" x14ac:dyDescent="0.15"/>
    <row r="16051" hidden="1" x14ac:dyDescent="0.15"/>
    <row r="16052" hidden="1" x14ac:dyDescent="0.15"/>
    <row r="16053" hidden="1" x14ac:dyDescent="0.15"/>
    <row r="16054" hidden="1" x14ac:dyDescent="0.15"/>
    <row r="16055" hidden="1" x14ac:dyDescent="0.15"/>
    <row r="16056" hidden="1" x14ac:dyDescent="0.15"/>
    <row r="16057" hidden="1" x14ac:dyDescent="0.15"/>
    <row r="16058" hidden="1" x14ac:dyDescent="0.15"/>
    <row r="16059" hidden="1" x14ac:dyDescent="0.15"/>
    <row r="16060" hidden="1" x14ac:dyDescent="0.15"/>
    <row r="16061" hidden="1" x14ac:dyDescent="0.15"/>
    <row r="16062" hidden="1" x14ac:dyDescent="0.15"/>
    <row r="16063" hidden="1" x14ac:dyDescent="0.15"/>
    <row r="16064" hidden="1" x14ac:dyDescent="0.15"/>
    <row r="16065" hidden="1" x14ac:dyDescent="0.15"/>
    <row r="16066" hidden="1" x14ac:dyDescent="0.15"/>
    <row r="16067" hidden="1" x14ac:dyDescent="0.15"/>
    <row r="16068" hidden="1" x14ac:dyDescent="0.15"/>
    <row r="16069" hidden="1" x14ac:dyDescent="0.15"/>
    <row r="16070" hidden="1" x14ac:dyDescent="0.15"/>
    <row r="16071" hidden="1" x14ac:dyDescent="0.15"/>
    <row r="16072" hidden="1" x14ac:dyDescent="0.15"/>
    <row r="16073" hidden="1" x14ac:dyDescent="0.15"/>
    <row r="16074" hidden="1" x14ac:dyDescent="0.15"/>
    <row r="16075" hidden="1" x14ac:dyDescent="0.15"/>
    <row r="16076" hidden="1" x14ac:dyDescent="0.15"/>
    <row r="16077" hidden="1" x14ac:dyDescent="0.15"/>
    <row r="16078" hidden="1" x14ac:dyDescent="0.15"/>
    <row r="16079" hidden="1" x14ac:dyDescent="0.15"/>
    <row r="16080" hidden="1" x14ac:dyDescent="0.15"/>
    <row r="16081" hidden="1" x14ac:dyDescent="0.15"/>
    <row r="16082" hidden="1" x14ac:dyDescent="0.15"/>
    <row r="16083" hidden="1" x14ac:dyDescent="0.15"/>
    <row r="16084" hidden="1" x14ac:dyDescent="0.15"/>
    <row r="16085" hidden="1" x14ac:dyDescent="0.15"/>
    <row r="16086" hidden="1" x14ac:dyDescent="0.15"/>
    <row r="16087" hidden="1" x14ac:dyDescent="0.15"/>
    <row r="16088" hidden="1" x14ac:dyDescent="0.15"/>
    <row r="16089" hidden="1" x14ac:dyDescent="0.15"/>
    <row r="16090" hidden="1" x14ac:dyDescent="0.15"/>
    <row r="16091" hidden="1" x14ac:dyDescent="0.15"/>
    <row r="16092" hidden="1" x14ac:dyDescent="0.15"/>
    <row r="16093" hidden="1" x14ac:dyDescent="0.15"/>
    <row r="16094" hidden="1" x14ac:dyDescent="0.15"/>
    <row r="16095" hidden="1" x14ac:dyDescent="0.15"/>
    <row r="16096" hidden="1" x14ac:dyDescent="0.15"/>
    <row r="16097" hidden="1" x14ac:dyDescent="0.15"/>
    <row r="16098" hidden="1" x14ac:dyDescent="0.15"/>
    <row r="16099" hidden="1" x14ac:dyDescent="0.15"/>
    <row r="16100" hidden="1" x14ac:dyDescent="0.15"/>
    <row r="16101" hidden="1" x14ac:dyDescent="0.15"/>
    <row r="16102" hidden="1" x14ac:dyDescent="0.15"/>
    <row r="16103" hidden="1" x14ac:dyDescent="0.15"/>
    <row r="16104" hidden="1" x14ac:dyDescent="0.15"/>
    <row r="16105" hidden="1" x14ac:dyDescent="0.15"/>
    <row r="16106" hidden="1" x14ac:dyDescent="0.15"/>
    <row r="16107" hidden="1" x14ac:dyDescent="0.15"/>
    <row r="16108" hidden="1" x14ac:dyDescent="0.15"/>
    <row r="16109" hidden="1" x14ac:dyDescent="0.15"/>
    <row r="16110" hidden="1" x14ac:dyDescent="0.15"/>
    <row r="16111" hidden="1" x14ac:dyDescent="0.15"/>
    <row r="16112" hidden="1" x14ac:dyDescent="0.15"/>
    <row r="16113" hidden="1" x14ac:dyDescent="0.15"/>
    <row r="16114" hidden="1" x14ac:dyDescent="0.15"/>
    <row r="16115" hidden="1" x14ac:dyDescent="0.15"/>
    <row r="16116" hidden="1" x14ac:dyDescent="0.15"/>
    <row r="16117" hidden="1" x14ac:dyDescent="0.15"/>
    <row r="16118" hidden="1" x14ac:dyDescent="0.15"/>
    <row r="16119" hidden="1" x14ac:dyDescent="0.15"/>
    <row r="16120" hidden="1" x14ac:dyDescent="0.15"/>
    <row r="16121" hidden="1" x14ac:dyDescent="0.15"/>
    <row r="16122" hidden="1" x14ac:dyDescent="0.15"/>
    <row r="16123" hidden="1" x14ac:dyDescent="0.15"/>
    <row r="16124" hidden="1" x14ac:dyDescent="0.15"/>
    <row r="16125" hidden="1" x14ac:dyDescent="0.15"/>
    <row r="16126" hidden="1" x14ac:dyDescent="0.15"/>
    <row r="16127" hidden="1" x14ac:dyDescent="0.15"/>
    <row r="16128" hidden="1" x14ac:dyDescent="0.15"/>
    <row r="16129" hidden="1" x14ac:dyDescent="0.15"/>
    <row r="16130" hidden="1" x14ac:dyDescent="0.15"/>
    <row r="16131" hidden="1" x14ac:dyDescent="0.15"/>
    <row r="16132" hidden="1" x14ac:dyDescent="0.15"/>
    <row r="16133" hidden="1" x14ac:dyDescent="0.15"/>
    <row r="16134" hidden="1" x14ac:dyDescent="0.15"/>
    <row r="16135" hidden="1" x14ac:dyDescent="0.15"/>
    <row r="16136" hidden="1" x14ac:dyDescent="0.15"/>
    <row r="16137" hidden="1" x14ac:dyDescent="0.15"/>
    <row r="16138" hidden="1" x14ac:dyDescent="0.15"/>
    <row r="16139" hidden="1" x14ac:dyDescent="0.15"/>
    <row r="16140" hidden="1" x14ac:dyDescent="0.15"/>
    <row r="16141" hidden="1" x14ac:dyDescent="0.15"/>
    <row r="16142" hidden="1" x14ac:dyDescent="0.15"/>
    <row r="16143" hidden="1" x14ac:dyDescent="0.15"/>
    <row r="16144" hidden="1" x14ac:dyDescent="0.15"/>
    <row r="16145" hidden="1" x14ac:dyDescent="0.15"/>
    <row r="16146" hidden="1" x14ac:dyDescent="0.15"/>
    <row r="16147" hidden="1" x14ac:dyDescent="0.15"/>
    <row r="16148" hidden="1" x14ac:dyDescent="0.15"/>
    <row r="16149" hidden="1" x14ac:dyDescent="0.15"/>
    <row r="16150" hidden="1" x14ac:dyDescent="0.15"/>
    <row r="16151" hidden="1" x14ac:dyDescent="0.15"/>
    <row r="16152" hidden="1" x14ac:dyDescent="0.15"/>
    <row r="16153" hidden="1" x14ac:dyDescent="0.15"/>
    <row r="16154" hidden="1" x14ac:dyDescent="0.15"/>
    <row r="16155" hidden="1" x14ac:dyDescent="0.15"/>
    <row r="16156" hidden="1" x14ac:dyDescent="0.15"/>
    <row r="16157" hidden="1" x14ac:dyDescent="0.15"/>
    <row r="16158" hidden="1" x14ac:dyDescent="0.15"/>
    <row r="16159" hidden="1" x14ac:dyDescent="0.15"/>
    <row r="16160" hidden="1" x14ac:dyDescent="0.15"/>
    <row r="16161" hidden="1" x14ac:dyDescent="0.15"/>
    <row r="16162" hidden="1" x14ac:dyDescent="0.15"/>
    <row r="16163" hidden="1" x14ac:dyDescent="0.15"/>
    <row r="16164" hidden="1" x14ac:dyDescent="0.15"/>
    <row r="16165" hidden="1" x14ac:dyDescent="0.15"/>
    <row r="16166" hidden="1" x14ac:dyDescent="0.15"/>
    <row r="16167" hidden="1" x14ac:dyDescent="0.15"/>
    <row r="16168" hidden="1" x14ac:dyDescent="0.15"/>
    <row r="16169" hidden="1" x14ac:dyDescent="0.15"/>
    <row r="16170" hidden="1" x14ac:dyDescent="0.15"/>
    <row r="16171" hidden="1" x14ac:dyDescent="0.15"/>
    <row r="16172" hidden="1" x14ac:dyDescent="0.15"/>
    <row r="16173" hidden="1" x14ac:dyDescent="0.15"/>
    <row r="16174" hidden="1" x14ac:dyDescent="0.15"/>
    <row r="16175" hidden="1" x14ac:dyDescent="0.15"/>
    <row r="16176" hidden="1" x14ac:dyDescent="0.15"/>
    <row r="16177" hidden="1" x14ac:dyDescent="0.15"/>
    <row r="16178" hidden="1" x14ac:dyDescent="0.15"/>
    <row r="16179" hidden="1" x14ac:dyDescent="0.15"/>
    <row r="16180" hidden="1" x14ac:dyDescent="0.15"/>
    <row r="16181" hidden="1" x14ac:dyDescent="0.15"/>
    <row r="16182" hidden="1" x14ac:dyDescent="0.15"/>
    <row r="16183" hidden="1" x14ac:dyDescent="0.15"/>
    <row r="16184" hidden="1" x14ac:dyDescent="0.15"/>
    <row r="16185" hidden="1" x14ac:dyDescent="0.15"/>
    <row r="16186" hidden="1" x14ac:dyDescent="0.15"/>
    <row r="16187" hidden="1" x14ac:dyDescent="0.15"/>
    <row r="16188" hidden="1" x14ac:dyDescent="0.15"/>
    <row r="16189" hidden="1" x14ac:dyDescent="0.15"/>
    <row r="16190" hidden="1" x14ac:dyDescent="0.15"/>
    <row r="16191" hidden="1" x14ac:dyDescent="0.15"/>
    <row r="16192" hidden="1" x14ac:dyDescent="0.15"/>
    <row r="16193" hidden="1" x14ac:dyDescent="0.15"/>
    <row r="16194" hidden="1" x14ac:dyDescent="0.15"/>
    <row r="16195" hidden="1" x14ac:dyDescent="0.15"/>
    <row r="16196" hidden="1" x14ac:dyDescent="0.15"/>
    <row r="16197" hidden="1" x14ac:dyDescent="0.15"/>
    <row r="16198" hidden="1" x14ac:dyDescent="0.15"/>
    <row r="16199" hidden="1" x14ac:dyDescent="0.15"/>
    <row r="16200" hidden="1" x14ac:dyDescent="0.15"/>
    <row r="16201" hidden="1" x14ac:dyDescent="0.15"/>
    <row r="16202" hidden="1" x14ac:dyDescent="0.15"/>
    <row r="16203" hidden="1" x14ac:dyDescent="0.15"/>
    <row r="16204" hidden="1" x14ac:dyDescent="0.15"/>
    <row r="16205" hidden="1" x14ac:dyDescent="0.15"/>
    <row r="16206" hidden="1" x14ac:dyDescent="0.15"/>
    <row r="16207" hidden="1" x14ac:dyDescent="0.15"/>
    <row r="16208" hidden="1" x14ac:dyDescent="0.15"/>
    <row r="16209" hidden="1" x14ac:dyDescent="0.15"/>
    <row r="16210" hidden="1" x14ac:dyDescent="0.15"/>
    <row r="16211" hidden="1" x14ac:dyDescent="0.15"/>
    <row r="16212" hidden="1" x14ac:dyDescent="0.15"/>
    <row r="16213" hidden="1" x14ac:dyDescent="0.15"/>
    <row r="16214" hidden="1" x14ac:dyDescent="0.15"/>
    <row r="16215" hidden="1" x14ac:dyDescent="0.15"/>
    <row r="16216" hidden="1" x14ac:dyDescent="0.15"/>
    <row r="16217" hidden="1" x14ac:dyDescent="0.15"/>
    <row r="16218" hidden="1" x14ac:dyDescent="0.15"/>
    <row r="16219" hidden="1" x14ac:dyDescent="0.15"/>
    <row r="16220" hidden="1" x14ac:dyDescent="0.15"/>
    <row r="16221" hidden="1" x14ac:dyDescent="0.15"/>
    <row r="16222" hidden="1" x14ac:dyDescent="0.15"/>
    <row r="16223" hidden="1" x14ac:dyDescent="0.15"/>
    <row r="16224" hidden="1" x14ac:dyDescent="0.15"/>
    <row r="16225" hidden="1" x14ac:dyDescent="0.15"/>
    <row r="16226" hidden="1" x14ac:dyDescent="0.15"/>
    <row r="16227" hidden="1" x14ac:dyDescent="0.15"/>
    <row r="16228" hidden="1" x14ac:dyDescent="0.15"/>
    <row r="16229" hidden="1" x14ac:dyDescent="0.15"/>
    <row r="16230" hidden="1" x14ac:dyDescent="0.15"/>
    <row r="16231" hidden="1" x14ac:dyDescent="0.15"/>
    <row r="16232" hidden="1" x14ac:dyDescent="0.15"/>
    <row r="16233" hidden="1" x14ac:dyDescent="0.15"/>
    <row r="16234" hidden="1" x14ac:dyDescent="0.15"/>
    <row r="16235" hidden="1" x14ac:dyDescent="0.15"/>
    <row r="16236" hidden="1" x14ac:dyDescent="0.15"/>
    <row r="16237" hidden="1" x14ac:dyDescent="0.15"/>
    <row r="16238" hidden="1" x14ac:dyDescent="0.15"/>
    <row r="16239" hidden="1" x14ac:dyDescent="0.15"/>
    <row r="16240" hidden="1" x14ac:dyDescent="0.15"/>
    <row r="16241" hidden="1" x14ac:dyDescent="0.15"/>
    <row r="16242" hidden="1" x14ac:dyDescent="0.15"/>
    <row r="16243" hidden="1" x14ac:dyDescent="0.15"/>
    <row r="16244" hidden="1" x14ac:dyDescent="0.15"/>
    <row r="16245" hidden="1" x14ac:dyDescent="0.15"/>
    <row r="16246" hidden="1" x14ac:dyDescent="0.15"/>
    <row r="16247" hidden="1" x14ac:dyDescent="0.15"/>
    <row r="16248" hidden="1" x14ac:dyDescent="0.15"/>
    <row r="16249" hidden="1" x14ac:dyDescent="0.15"/>
    <row r="16250" hidden="1" x14ac:dyDescent="0.15"/>
    <row r="16251" hidden="1" x14ac:dyDescent="0.15"/>
    <row r="16252" hidden="1" x14ac:dyDescent="0.15"/>
    <row r="16253" hidden="1" x14ac:dyDescent="0.15"/>
    <row r="16254" hidden="1" x14ac:dyDescent="0.15"/>
    <row r="16255" hidden="1" x14ac:dyDescent="0.15"/>
    <row r="16256" hidden="1" x14ac:dyDescent="0.15"/>
    <row r="16257" hidden="1" x14ac:dyDescent="0.15"/>
    <row r="16258" hidden="1" x14ac:dyDescent="0.15"/>
    <row r="16259" hidden="1" x14ac:dyDescent="0.15"/>
    <row r="16260" hidden="1" x14ac:dyDescent="0.15"/>
    <row r="16261" hidden="1" x14ac:dyDescent="0.15"/>
    <row r="16262" hidden="1" x14ac:dyDescent="0.15"/>
    <row r="16263" hidden="1" x14ac:dyDescent="0.15"/>
    <row r="16264" hidden="1" x14ac:dyDescent="0.15"/>
    <row r="16265" hidden="1" x14ac:dyDescent="0.15"/>
    <row r="16266" hidden="1" x14ac:dyDescent="0.15"/>
    <row r="16267" hidden="1" x14ac:dyDescent="0.15"/>
    <row r="16268" hidden="1" x14ac:dyDescent="0.15"/>
    <row r="16269" hidden="1" x14ac:dyDescent="0.15"/>
    <row r="16270" hidden="1" x14ac:dyDescent="0.15"/>
    <row r="16271" hidden="1" x14ac:dyDescent="0.15"/>
    <row r="16272" hidden="1" x14ac:dyDescent="0.15"/>
    <row r="16273" hidden="1" x14ac:dyDescent="0.15"/>
    <row r="16274" hidden="1" x14ac:dyDescent="0.15"/>
    <row r="16275" hidden="1" x14ac:dyDescent="0.15"/>
    <row r="16276" hidden="1" x14ac:dyDescent="0.15"/>
    <row r="16277" hidden="1" x14ac:dyDescent="0.15"/>
    <row r="16278" hidden="1" x14ac:dyDescent="0.15"/>
    <row r="16279" hidden="1" x14ac:dyDescent="0.15"/>
    <row r="16280" hidden="1" x14ac:dyDescent="0.15"/>
    <row r="16281" hidden="1" x14ac:dyDescent="0.15"/>
    <row r="16282" hidden="1" x14ac:dyDescent="0.15"/>
    <row r="16283" hidden="1" x14ac:dyDescent="0.15"/>
    <row r="16284" hidden="1" x14ac:dyDescent="0.15"/>
    <row r="16285" hidden="1" x14ac:dyDescent="0.15"/>
    <row r="16286" hidden="1" x14ac:dyDescent="0.15"/>
    <row r="16287" hidden="1" x14ac:dyDescent="0.15"/>
    <row r="16288" hidden="1" x14ac:dyDescent="0.15"/>
    <row r="16289" hidden="1" x14ac:dyDescent="0.15"/>
    <row r="16290" hidden="1" x14ac:dyDescent="0.15"/>
    <row r="16291" hidden="1" x14ac:dyDescent="0.15"/>
    <row r="16292" hidden="1" x14ac:dyDescent="0.15"/>
    <row r="16293" hidden="1" x14ac:dyDescent="0.15"/>
    <row r="16294" hidden="1" x14ac:dyDescent="0.15"/>
    <row r="16295" hidden="1" x14ac:dyDescent="0.15"/>
    <row r="16296" hidden="1" x14ac:dyDescent="0.15"/>
    <row r="16297" hidden="1" x14ac:dyDescent="0.15"/>
    <row r="16298" hidden="1" x14ac:dyDescent="0.15"/>
    <row r="16299" hidden="1" x14ac:dyDescent="0.15"/>
    <row r="16300" hidden="1" x14ac:dyDescent="0.15"/>
    <row r="16301" hidden="1" x14ac:dyDescent="0.15"/>
    <row r="16302" hidden="1" x14ac:dyDescent="0.15"/>
    <row r="16303" hidden="1" x14ac:dyDescent="0.15"/>
    <row r="16304" hidden="1" x14ac:dyDescent="0.15"/>
    <row r="16305" hidden="1" x14ac:dyDescent="0.15"/>
    <row r="16306" hidden="1" x14ac:dyDescent="0.15"/>
    <row r="16307" hidden="1" x14ac:dyDescent="0.15"/>
    <row r="16308" hidden="1" x14ac:dyDescent="0.15"/>
    <row r="16309" hidden="1" x14ac:dyDescent="0.15"/>
    <row r="16310" hidden="1" x14ac:dyDescent="0.15"/>
    <row r="16311" hidden="1" x14ac:dyDescent="0.15"/>
    <row r="16312" hidden="1" x14ac:dyDescent="0.15"/>
    <row r="16313" hidden="1" x14ac:dyDescent="0.15"/>
    <row r="16314" hidden="1" x14ac:dyDescent="0.15"/>
    <row r="16315" hidden="1" x14ac:dyDescent="0.15"/>
    <row r="16316" hidden="1" x14ac:dyDescent="0.15"/>
    <row r="16317" hidden="1" x14ac:dyDescent="0.15"/>
    <row r="16318" hidden="1" x14ac:dyDescent="0.15"/>
    <row r="16319" hidden="1" x14ac:dyDescent="0.15"/>
    <row r="16320" hidden="1" x14ac:dyDescent="0.15"/>
    <row r="16321" hidden="1" x14ac:dyDescent="0.15"/>
    <row r="16322" hidden="1" x14ac:dyDescent="0.15"/>
    <row r="16323" hidden="1" x14ac:dyDescent="0.15"/>
    <row r="16324" hidden="1" x14ac:dyDescent="0.15"/>
    <row r="16325" hidden="1" x14ac:dyDescent="0.15"/>
    <row r="16326" hidden="1" x14ac:dyDescent="0.15"/>
    <row r="16327" hidden="1" x14ac:dyDescent="0.15"/>
    <row r="16328" hidden="1" x14ac:dyDescent="0.15"/>
    <row r="16329" hidden="1" x14ac:dyDescent="0.15"/>
    <row r="16330" hidden="1" x14ac:dyDescent="0.15"/>
    <row r="16331" hidden="1" x14ac:dyDescent="0.15"/>
    <row r="16332" hidden="1" x14ac:dyDescent="0.15"/>
    <row r="16333" hidden="1" x14ac:dyDescent="0.15"/>
    <row r="16334" hidden="1" x14ac:dyDescent="0.15"/>
    <row r="16335" hidden="1" x14ac:dyDescent="0.15"/>
    <row r="16336" hidden="1" x14ac:dyDescent="0.15"/>
    <row r="16337" hidden="1" x14ac:dyDescent="0.15"/>
    <row r="16338" hidden="1" x14ac:dyDescent="0.15"/>
    <row r="16339" hidden="1" x14ac:dyDescent="0.15"/>
    <row r="16340" hidden="1" x14ac:dyDescent="0.15"/>
    <row r="16341" hidden="1" x14ac:dyDescent="0.15"/>
    <row r="16342" hidden="1" x14ac:dyDescent="0.15"/>
    <row r="16343" hidden="1" x14ac:dyDescent="0.15"/>
    <row r="16344" hidden="1" x14ac:dyDescent="0.15"/>
    <row r="16345" hidden="1" x14ac:dyDescent="0.15"/>
    <row r="16346" hidden="1" x14ac:dyDescent="0.15"/>
    <row r="16347" hidden="1" x14ac:dyDescent="0.15"/>
    <row r="16348" hidden="1" x14ac:dyDescent="0.15"/>
    <row r="16349" hidden="1" x14ac:dyDescent="0.15"/>
    <row r="16350" hidden="1" x14ac:dyDescent="0.15"/>
    <row r="16351" hidden="1" x14ac:dyDescent="0.15"/>
    <row r="16352" hidden="1" x14ac:dyDescent="0.15"/>
    <row r="16353" hidden="1" x14ac:dyDescent="0.15"/>
    <row r="16354" hidden="1" x14ac:dyDescent="0.15"/>
    <row r="16355" hidden="1" x14ac:dyDescent="0.15"/>
    <row r="16356" hidden="1" x14ac:dyDescent="0.15"/>
    <row r="16357" hidden="1" x14ac:dyDescent="0.15"/>
    <row r="16358" hidden="1" x14ac:dyDescent="0.15"/>
    <row r="16359" hidden="1" x14ac:dyDescent="0.15"/>
    <row r="16360" hidden="1" x14ac:dyDescent="0.15"/>
    <row r="16361" hidden="1" x14ac:dyDescent="0.15"/>
    <row r="16362" hidden="1" x14ac:dyDescent="0.15"/>
    <row r="16363" hidden="1" x14ac:dyDescent="0.15"/>
    <row r="16364" hidden="1" x14ac:dyDescent="0.15"/>
    <row r="16365" hidden="1" x14ac:dyDescent="0.15"/>
    <row r="16366" hidden="1" x14ac:dyDescent="0.15"/>
    <row r="16367" hidden="1" x14ac:dyDescent="0.15"/>
    <row r="16368" hidden="1" x14ac:dyDescent="0.15"/>
    <row r="16369" hidden="1" x14ac:dyDescent="0.15"/>
    <row r="16370" hidden="1" x14ac:dyDescent="0.15"/>
    <row r="16371" hidden="1" x14ac:dyDescent="0.15"/>
    <row r="16372" hidden="1" x14ac:dyDescent="0.15"/>
    <row r="16373" hidden="1" x14ac:dyDescent="0.15"/>
    <row r="16374" hidden="1" x14ac:dyDescent="0.15"/>
    <row r="16375" hidden="1" x14ac:dyDescent="0.15"/>
    <row r="16376" hidden="1" x14ac:dyDescent="0.15"/>
    <row r="16377" hidden="1" x14ac:dyDescent="0.15"/>
    <row r="16378" hidden="1" x14ac:dyDescent="0.15"/>
    <row r="16379" hidden="1" x14ac:dyDescent="0.15"/>
    <row r="16380" hidden="1" x14ac:dyDescent="0.15"/>
    <row r="16381" hidden="1" x14ac:dyDescent="0.15"/>
    <row r="16382" hidden="1" x14ac:dyDescent="0.15"/>
    <row r="16383" hidden="1" x14ac:dyDescent="0.15"/>
    <row r="16384" hidden="1" x14ac:dyDescent="0.15"/>
    <row r="16385" hidden="1" x14ac:dyDescent="0.15"/>
    <row r="16386" hidden="1" x14ac:dyDescent="0.15"/>
    <row r="16387" hidden="1" x14ac:dyDescent="0.15"/>
    <row r="16388" hidden="1" x14ac:dyDescent="0.15"/>
    <row r="16389" hidden="1" x14ac:dyDescent="0.15"/>
    <row r="16390" hidden="1" x14ac:dyDescent="0.15"/>
    <row r="16391" hidden="1" x14ac:dyDescent="0.15"/>
    <row r="16392" hidden="1" x14ac:dyDescent="0.15"/>
    <row r="16393" hidden="1" x14ac:dyDescent="0.15"/>
    <row r="16394" hidden="1" x14ac:dyDescent="0.15"/>
    <row r="16395" hidden="1" x14ac:dyDescent="0.15"/>
    <row r="16396" hidden="1" x14ac:dyDescent="0.15"/>
    <row r="16397" hidden="1" x14ac:dyDescent="0.15"/>
    <row r="16398" hidden="1" x14ac:dyDescent="0.15"/>
    <row r="16399" hidden="1" x14ac:dyDescent="0.15"/>
    <row r="16400" hidden="1" x14ac:dyDescent="0.15"/>
    <row r="16401" hidden="1" x14ac:dyDescent="0.15"/>
    <row r="16402" hidden="1" x14ac:dyDescent="0.15"/>
    <row r="16403" hidden="1" x14ac:dyDescent="0.15"/>
    <row r="16404" hidden="1" x14ac:dyDescent="0.15"/>
    <row r="16405" hidden="1" x14ac:dyDescent="0.15"/>
    <row r="16406" hidden="1" x14ac:dyDescent="0.15"/>
    <row r="16407" hidden="1" x14ac:dyDescent="0.15"/>
    <row r="16408" hidden="1" x14ac:dyDescent="0.15"/>
    <row r="16409" hidden="1" x14ac:dyDescent="0.15"/>
    <row r="16410" hidden="1" x14ac:dyDescent="0.15"/>
    <row r="16411" hidden="1" x14ac:dyDescent="0.15"/>
    <row r="16412" hidden="1" x14ac:dyDescent="0.15"/>
    <row r="16413" hidden="1" x14ac:dyDescent="0.15"/>
    <row r="16414" hidden="1" x14ac:dyDescent="0.15"/>
    <row r="16415" hidden="1" x14ac:dyDescent="0.15"/>
    <row r="16416" hidden="1" x14ac:dyDescent="0.15"/>
    <row r="16417" hidden="1" x14ac:dyDescent="0.15"/>
    <row r="16418" hidden="1" x14ac:dyDescent="0.15"/>
    <row r="16419" hidden="1" x14ac:dyDescent="0.15"/>
    <row r="16420" hidden="1" x14ac:dyDescent="0.15"/>
    <row r="16421" hidden="1" x14ac:dyDescent="0.15"/>
    <row r="16422" hidden="1" x14ac:dyDescent="0.15"/>
    <row r="16423" hidden="1" x14ac:dyDescent="0.15"/>
    <row r="16424" hidden="1" x14ac:dyDescent="0.15"/>
    <row r="16425" hidden="1" x14ac:dyDescent="0.15"/>
    <row r="16426" hidden="1" x14ac:dyDescent="0.15"/>
    <row r="16427" hidden="1" x14ac:dyDescent="0.15"/>
    <row r="16428" hidden="1" x14ac:dyDescent="0.15"/>
    <row r="16429" hidden="1" x14ac:dyDescent="0.15"/>
    <row r="16430" hidden="1" x14ac:dyDescent="0.15"/>
    <row r="16431" hidden="1" x14ac:dyDescent="0.15"/>
    <row r="16432" hidden="1" x14ac:dyDescent="0.15"/>
    <row r="16433" hidden="1" x14ac:dyDescent="0.15"/>
    <row r="16434" hidden="1" x14ac:dyDescent="0.15"/>
    <row r="16435" hidden="1" x14ac:dyDescent="0.15"/>
    <row r="16436" hidden="1" x14ac:dyDescent="0.15"/>
    <row r="16437" hidden="1" x14ac:dyDescent="0.15"/>
    <row r="16438" hidden="1" x14ac:dyDescent="0.15"/>
    <row r="16439" hidden="1" x14ac:dyDescent="0.15"/>
    <row r="16440" hidden="1" x14ac:dyDescent="0.15"/>
    <row r="16441" hidden="1" x14ac:dyDescent="0.15"/>
    <row r="16442" hidden="1" x14ac:dyDescent="0.15"/>
    <row r="16443" hidden="1" x14ac:dyDescent="0.15"/>
    <row r="16444" hidden="1" x14ac:dyDescent="0.15"/>
    <row r="16445" hidden="1" x14ac:dyDescent="0.15"/>
    <row r="16446" hidden="1" x14ac:dyDescent="0.15"/>
    <row r="16447" hidden="1" x14ac:dyDescent="0.15"/>
    <row r="16448" hidden="1" x14ac:dyDescent="0.15"/>
    <row r="16449" hidden="1" x14ac:dyDescent="0.15"/>
    <row r="16450" hidden="1" x14ac:dyDescent="0.15"/>
    <row r="16451" hidden="1" x14ac:dyDescent="0.15"/>
    <row r="16452" hidden="1" x14ac:dyDescent="0.15"/>
    <row r="16453" hidden="1" x14ac:dyDescent="0.15"/>
    <row r="16454" hidden="1" x14ac:dyDescent="0.15"/>
    <row r="16455" hidden="1" x14ac:dyDescent="0.15"/>
    <row r="16456" hidden="1" x14ac:dyDescent="0.15"/>
    <row r="16457" hidden="1" x14ac:dyDescent="0.15"/>
    <row r="16458" hidden="1" x14ac:dyDescent="0.15"/>
    <row r="16459" hidden="1" x14ac:dyDescent="0.15"/>
    <row r="16460" hidden="1" x14ac:dyDescent="0.15"/>
    <row r="16461" hidden="1" x14ac:dyDescent="0.15"/>
    <row r="16462" hidden="1" x14ac:dyDescent="0.15"/>
    <row r="16463" hidden="1" x14ac:dyDescent="0.15"/>
    <row r="16464" hidden="1" x14ac:dyDescent="0.15"/>
    <row r="16465" hidden="1" x14ac:dyDescent="0.15"/>
    <row r="16466" hidden="1" x14ac:dyDescent="0.15"/>
    <row r="16467" hidden="1" x14ac:dyDescent="0.15"/>
    <row r="16468" hidden="1" x14ac:dyDescent="0.15"/>
    <row r="16469" hidden="1" x14ac:dyDescent="0.15"/>
    <row r="16470" hidden="1" x14ac:dyDescent="0.15"/>
    <row r="16471" hidden="1" x14ac:dyDescent="0.15"/>
    <row r="16472" hidden="1" x14ac:dyDescent="0.15"/>
    <row r="16473" hidden="1" x14ac:dyDescent="0.15"/>
    <row r="16474" hidden="1" x14ac:dyDescent="0.15"/>
    <row r="16475" hidden="1" x14ac:dyDescent="0.15"/>
    <row r="16476" hidden="1" x14ac:dyDescent="0.15"/>
    <row r="16477" hidden="1" x14ac:dyDescent="0.15"/>
    <row r="16478" hidden="1" x14ac:dyDescent="0.15"/>
    <row r="16479" hidden="1" x14ac:dyDescent="0.15"/>
    <row r="16480" hidden="1" x14ac:dyDescent="0.15"/>
    <row r="16481" hidden="1" x14ac:dyDescent="0.15"/>
    <row r="16482" hidden="1" x14ac:dyDescent="0.15"/>
    <row r="16483" hidden="1" x14ac:dyDescent="0.15"/>
    <row r="16484" hidden="1" x14ac:dyDescent="0.15"/>
    <row r="16485" hidden="1" x14ac:dyDescent="0.15"/>
    <row r="16486" hidden="1" x14ac:dyDescent="0.15"/>
    <row r="16487" hidden="1" x14ac:dyDescent="0.15"/>
    <row r="16488" hidden="1" x14ac:dyDescent="0.15"/>
    <row r="16489" hidden="1" x14ac:dyDescent="0.15"/>
    <row r="16490" hidden="1" x14ac:dyDescent="0.15"/>
    <row r="16491" hidden="1" x14ac:dyDescent="0.15"/>
    <row r="16492" hidden="1" x14ac:dyDescent="0.15"/>
    <row r="16493" hidden="1" x14ac:dyDescent="0.15"/>
    <row r="16494" hidden="1" x14ac:dyDescent="0.15"/>
    <row r="16495" hidden="1" x14ac:dyDescent="0.15"/>
    <row r="16496" hidden="1" x14ac:dyDescent="0.15"/>
    <row r="16497" hidden="1" x14ac:dyDescent="0.15"/>
    <row r="16498" hidden="1" x14ac:dyDescent="0.15"/>
    <row r="16499" hidden="1" x14ac:dyDescent="0.15"/>
    <row r="16500" hidden="1" x14ac:dyDescent="0.15"/>
    <row r="16501" hidden="1" x14ac:dyDescent="0.15"/>
    <row r="16502" hidden="1" x14ac:dyDescent="0.15"/>
    <row r="16503" hidden="1" x14ac:dyDescent="0.15"/>
    <row r="16504" hidden="1" x14ac:dyDescent="0.15"/>
    <row r="16505" hidden="1" x14ac:dyDescent="0.15"/>
    <row r="16506" hidden="1" x14ac:dyDescent="0.15"/>
    <row r="16507" hidden="1" x14ac:dyDescent="0.15"/>
    <row r="16508" hidden="1" x14ac:dyDescent="0.15"/>
    <row r="16509" hidden="1" x14ac:dyDescent="0.15"/>
    <row r="16510" hidden="1" x14ac:dyDescent="0.15"/>
    <row r="16511" hidden="1" x14ac:dyDescent="0.15"/>
    <row r="16512" hidden="1" x14ac:dyDescent="0.15"/>
    <row r="16513" hidden="1" x14ac:dyDescent="0.15"/>
    <row r="16514" hidden="1" x14ac:dyDescent="0.15"/>
    <row r="16515" hidden="1" x14ac:dyDescent="0.15"/>
    <row r="16516" hidden="1" x14ac:dyDescent="0.15"/>
    <row r="16517" hidden="1" x14ac:dyDescent="0.15"/>
    <row r="16518" hidden="1" x14ac:dyDescent="0.15"/>
    <row r="16519" hidden="1" x14ac:dyDescent="0.15"/>
    <row r="16520" hidden="1" x14ac:dyDescent="0.15"/>
    <row r="16521" hidden="1" x14ac:dyDescent="0.15"/>
    <row r="16522" hidden="1" x14ac:dyDescent="0.15"/>
    <row r="16523" hidden="1" x14ac:dyDescent="0.15"/>
    <row r="16524" hidden="1" x14ac:dyDescent="0.15"/>
    <row r="16525" hidden="1" x14ac:dyDescent="0.15"/>
    <row r="16526" hidden="1" x14ac:dyDescent="0.15"/>
    <row r="16527" hidden="1" x14ac:dyDescent="0.15"/>
    <row r="16528" hidden="1" x14ac:dyDescent="0.15"/>
    <row r="16529" hidden="1" x14ac:dyDescent="0.15"/>
    <row r="16530" hidden="1" x14ac:dyDescent="0.15"/>
    <row r="16531" hidden="1" x14ac:dyDescent="0.15"/>
    <row r="16532" hidden="1" x14ac:dyDescent="0.15"/>
    <row r="16533" hidden="1" x14ac:dyDescent="0.15"/>
    <row r="16534" hidden="1" x14ac:dyDescent="0.15"/>
    <row r="16535" hidden="1" x14ac:dyDescent="0.15"/>
    <row r="16536" hidden="1" x14ac:dyDescent="0.15"/>
    <row r="16537" hidden="1" x14ac:dyDescent="0.15"/>
    <row r="16538" hidden="1" x14ac:dyDescent="0.15"/>
    <row r="16539" hidden="1" x14ac:dyDescent="0.15"/>
    <row r="16540" hidden="1" x14ac:dyDescent="0.15"/>
    <row r="16541" hidden="1" x14ac:dyDescent="0.15"/>
    <row r="16542" hidden="1" x14ac:dyDescent="0.15"/>
    <row r="16543" hidden="1" x14ac:dyDescent="0.15"/>
    <row r="16544" hidden="1" x14ac:dyDescent="0.15"/>
    <row r="16545" hidden="1" x14ac:dyDescent="0.15"/>
    <row r="16546" hidden="1" x14ac:dyDescent="0.15"/>
    <row r="16547" hidden="1" x14ac:dyDescent="0.15"/>
    <row r="16548" hidden="1" x14ac:dyDescent="0.15"/>
    <row r="16549" hidden="1" x14ac:dyDescent="0.15"/>
    <row r="16550" hidden="1" x14ac:dyDescent="0.15"/>
    <row r="16551" hidden="1" x14ac:dyDescent="0.15"/>
    <row r="16552" hidden="1" x14ac:dyDescent="0.15"/>
    <row r="16553" hidden="1" x14ac:dyDescent="0.15"/>
    <row r="16554" hidden="1" x14ac:dyDescent="0.15"/>
    <row r="16555" hidden="1" x14ac:dyDescent="0.15"/>
    <row r="16556" hidden="1" x14ac:dyDescent="0.15"/>
    <row r="16557" hidden="1" x14ac:dyDescent="0.15"/>
    <row r="16558" hidden="1" x14ac:dyDescent="0.15"/>
    <row r="16559" hidden="1" x14ac:dyDescent="0.15"/>
    <row r="16560" hidden="1" x14ac:dyDescent="0.15"/>
    <row r="16561" hidden="1" x14ac:dyDescent="0.15"/>
    <row r="16562" hidden="1" x14ac:dyDescent="0.15"/>
    <row r="16563" hidden="1" x14ac:dyDescent="0.15"/>
    <row r="16564" hidden="1" x14ac:dyDescent="0.15"/>
    <row r="16565" hidden="1" x14ac:dyDescent="0.15"/>
    <row r="16566" hidden="1" x14ac:dyDescent="0.15"/>
    <row r="16567" hidden="1" x14ac:dyDescent="0.15"/>
    <row r="16568" hidden="1" x14ac:dyDescent="0.15"/>
    <row r="16569" hidden="1" x14ac:dyDescent="0.15"/>
    <row r="16570" hidden="1" x14ac:dyDescent="0.15"/>
    <row r="16571" hidden="1" x14ac:dyDescent="0.15"/>
    <row r="16572" hidden="1" x14ac:dyDescent="0.15"/>
    <row r="16573" hidden="1" x14ac:dyDescent="0.15"/>
    <row r="16574" hidden="1" x14ac:dyDescent="0.15"/>
    <row r="16575" hidden="1" x14ac:dyDescent="0.15"/>
    <row r="16576" hidden="1" x14ac:dyDescent="0.15"/>
    <row r="16577" hidden="1" x14ac:dyDescent="0.15"/>
    <row r="16578" hidden="1" x14ac:dyDescent="0.15"/>
    <row r="16579" hidden="1" x14ac:dyDescent="0.15"/>
    <row r="16580" hidden="1" x14ac:dyDescent="0.15"/>
    <row r="16581" hidden="1" x14ac:dyDescent="0.15"/>
    <row r="16582" hidden="1" x14ac:dyDescent="0.15"/>
    <row r="16583" hidden="1" x14ac:dyDescent="0.15"/>
    <row r="16584" hidden="1" x14ac:dyDescent="0.15"/>
    <row r="16585" hidden="1" x14ac:dyDescent="0.15"/>
    <row r="16586" hidden="1" x14ac:dyDescent="0.15"/>
    <row r="16587" hidden="1" x14ac:dyDescent="0.15"/>
    <row r="16588" hidden="1" x14ac:dyDescent="0.15"/>
    <row r="16589" hidden="1" x14ac:dyDescent="0.15"/>
    <row r="16590" hidden="1" x14ac:dyDescent="0.15"/>
    <row r="16591" hidden="1" x14ac:dyDescent="0.15"/>
    <row r="16592" hidden="1" x14ac:dyDescent="0.15"/>
    <row r="16593" hidden="1" x14ac:dyDescent="0.15"/>
    <row r="16594" hidden="1" x14ac:dyDescent="0.15"/>
    <row r="16595" hidden="1" x14ac:dyDescent="0.15"/>
    <row r="16596" hidden="1" x14ac:dyDescent="0.15"/>
    <row r="16597" hidden="1" x14ac:dyDescent="0.15"/>
    <row r="16598" hidden="1" x14ac:dyDescent="0.15"/>
    <row r="16599" hidden="1" x14ac:dyDescent="0.15"/>
    <row r="16600" hidden="1" x14ac:dyDescent="0.15"/>
    <row r="16601" hidden="1" x14ac:dyDescent="0.15"/>
    <row r="16602" hidden="1" x14ac:dyDescent="0.15"/>
    <row r="16603" hidden="1" x14ac:dyDescent="0.15"/>
    <row r="16604" hidden="1" x14ac:dyDescent="0.15"/>
    <row r="16605" hidden="1" x14ac:dyDescent="0.15"/>
    <row r="16606" hidden="1" x14ac:dyDescent="0.15"/>
    <row r="16607" hidden="1" x14ac:dyDescent="0.15"/>
    <row r="16608" hidden="1" x14ac:dyDescent="0.15"/>
    <row r="16609" hidden="1" x14ac:dyDescent="0.15"/>
    <row r="16610" hidden="1" x14ac:dyDescent="0.15"/>
    <row r="16611" hidden="1" x14ac:dyDescent="0.15"/>
    <row r="16612" hidden="1" x14ac:dyDescent="0.15"/>
    <row r="16613" hidden="1" x14ac:dyDescent="0.15"/>
    <row r="16614" hidden="1" x14ac:dyDescent="0.15"/>
    <row r="16615" hidden="1" x14ac:dyDescent="0.15"/>
    <row r="16616" hidden="1" x14ac:dyDescent="0.15"/>
    <row r="16617" hidden="1" x14ac:dyDescent="0.15"/>
    <row r="16618" hidden="1" x14ac:dyDescent="0.15"/>
    <row r="16619" hidden="1" x14ac:dyDescent="0.15"/>
    <row r="16620" hidden="1" x14ac:dyDescent="0.15"/>
    <row r="16621" hidden="1" x14ac:dyDescent="0.15"/>
    <row r="16622" hidden="1" x14ac:dyDescent="0.15"/>
    <row r="16623" hidden="1" x14ac:dyDescent="0.15"/>
    <row r="16624" hidden="1" x14ac:dyDescent="0.15"/>
    <row r="16625" hidden="1" x14ac:dyDescent="0.15"/>
    <row r="16626" hidden="1" x14ac:dyDescent="0.15"/>
    <row r="16627" hidden="1" x14ac:dyDescent="0.15"/>
    <row r="16628" hidden="1" x14ac:dyDescent="0.15"/>
    <row r="16629" hidden="1" x14ac:dyDescent="0.15"/>
    <row r="16630" hidden="1" x14ac:dyDescent="0.15"/>
    <row r="16631" hidden="1" x14ac:dyDescent="0.15"/>
    <row r="16632" hidden="1" x14ac:dyDescent="0.15"/>
    <row r="16633" hidden="1" x14ac:dyDescent="0.15"/>
    <row r="16634" hidden="1" x14ac:dyDescent="0.15"/>
    <row r="16635" hidden="1" x14ac:dyDescent="0.15"/>
    <row r="16636" hidden="1" x14ac:dyDescent="0.15"/>
    <row r="16637" hidden="1" x14ac:dyDescent="0.15"/>
    <row r="16638" hidden="1" x14ac:dyDescent="0.15"/>
    <row r="16639" hidden="1" x14ac:dyDescent="0.15"/>
    <row r="16640" hidden="1" x14ac:dyDescent="0.15"/>
    <row r="16641" hidden="1" x14ac:dyDescent="0.15"/>
    <row r="16642" hidden="1" x14ac:dyDescent="0.15"/>
    <row r="16643" hidden="1" x14ac:dyDescent="0.15"/>
    <row r="16644" hidden="1" x14ac:dyDescent="0.15"/>
    <row r="16645" hidden="1" x14ac:dyDescent="0.15"/>
    <row r="16646" hidden="1" x14ac:dyDescent="0.15"/>
    <row r="16647" hidden="1" x14ac:dyDescent="0.15"/>
    <row r="16648" hidden="1" x14ac:dyDescent="0.15"/>
    <row r="16649" hidden="1" x14ac:dyDescent="0.15"/>
    <row r="16650" hidden="1" x14ac:dyDescent="0.15"/>
    <row r="16651" hidden="1" x14ac:dyDescent="0.15"/>
    <row r="16652" hidden="1" x14ac:dyDescent="0.15"/>
    <row r="16653" hidden="1" x14ac:dyDescent="0.15"/>
    <row r="16654" hidden="1" x14ac:dyDescent="0.15"/>
    <row r="16655" hidden="1" x14ac:dyDescent="0.15"/>
    <row r="16656" hidden="1" x14ac:dyDescent="0.15"/>
    <row r="16657" hidden="1" x14ac:dyDescent="0.15"/>
    <row r="16658" hidden="1" x14ac:dyDescent="0.15"/>
    <row r="16659" hidden="1" x14ac:dyDescent="0.15"/>
    <row r="16660" hidden="1" x14ac:dyDescent="0.15"/>
    <row r="16661" hidden="1" x14ac:dyDescent="0.15"/>
    <row r="16662" hidden="1" x14ac:dyDescent="0.15"/>
    <row r="16663" hidden="1" x14ac:dyDescent="0.15"/>
    <row r="16664" hidden="1" x14ac:dyDescent="0.15"/>
    <row r="16665" hidden="1" x14ac:dyDescent="0.15"/>
    <row r="16666" hidden="1" x14ac:dyDescent="0.15"/>
    <row r="16667" hidden="1" x14ac:dyDescent="0.15"/>
    <row r="16668" hidden="1" x14ac:dyDescent="0.15"/>
    <row r="16669" hidden="1" x14ac:dyDescent="0.15"/>
    <row r="16670" hidden="1" x14ac:dyDescent="0.15"/>
    <row r="16671" hidden="1" x14ac:dyDescent="0.15"/>
    <row r="16672" hidden="1" x14ac:dyDescent="0.15"/>
    <row r="16673" hidden="1" x14ac:dyDescent="0.15"/>
    <row r="16674" hidden="1" x14ac:dyDescent="0.15"/>
    <row r="16675" hidden="1" x14ac:dyDescent="0.15"/>
    <row r="16676" hidden="1" x14ac:dyDescent="0.15"/>
    <row r="16677" hidden="1" x14ac:dyDescent="0.15"/>
    <row r="16678" hidden="1" x14ac:dyDescent="0.15"/>
    <row r="16679" hidden="1" x14ac:dyDescent="0.15"/>
    <row r="16680" hidden="1" x14ac:dyDescent="0.15"/>
    <row r="16681" hidden="1" x14ac:dyDescent="0.15"/>
    <row r="16682" hidden="1" x14ac:dyDescent="0.15"/>
    <row r="16683" hidden="1" x14ac:dyDescent="0.15"/>
    <row r="16684" hidden="1" x14ac:dyDescent="0.15"/>
    <row r="16685" hidden="1" x14ac:dyDescent="0.15"/>
    <row r="16686" hidden="1" x14ac:dyDescent="0.15"/>
    <row r="16687" hidden="1" x14ac:dyDescent="0.15"/>
    <row r="16688" hidden="1" x14ac:dyDescent="0.15"/>
    <row r="16689" hidden="1" x14ac:dyDescent="0.15"/>
    <row r="16690" hidden="1" x14ac:dyDescent="0.15"/>
    <row r="16691" hidden="1" x14ac:dyDescent="0.15"/>
    <row r="16692" hidden="1" x14ac:dyDescent="0.15"/>
    <row r="16693" hidden="1" x14ac:dyDescent="0.15"/>
    <row r="16694" hidden="1" x14ac:dyDescent="0.15"/>
    <row r="16695" hidden="1" x14ac:dyDescent="0.15"/>
    <row r="16696" hidden="1" x14ac:dyDescent="0.15"/>
    <row r="16697" hidden="1" x14ac:dyDescent="0.15"/>
    <row r="16698" hidden="1" x14ac:dyDescent="0.15"/>
    <row r="16699" hidden="1" x14ac:dyDescent="0.15"/>
    <row r="16700" hidden="1" x14ac:dyDescent="0.15"/>
    <row r="16701" hidden="1" x14ac:dyDescent="0.15"/>
    <row r="16702" hidden="1" x14ac:dyDescent="0.15"/>
    <row r="16703" hidden="1" x14ac:dyDescent="0.15"/>
    <row r="16704" hidden="1" x14ac:dyDescent="0.15"/>
    <row r="16705" hidden="1" x14ac:dyDescent="0.15"/>
    <row r="16706" hidden="1" x14ac:dyDescent="0.15"/>
    <row r="16707" hidden="1" x14ac:dyDescent="0.15"/>
    <row r="16708" hidden="1" x14ac:dyDescent="0.15"/>
    <row r="16709" hidden="1" x14ac:dyDescent="0.15"/>
    <row r="16710" hidden="1" x14ac:dyDescent="0.15"/>
    <row r="16711" hidden="1" x14ac:dyDescent="0.15"/>
    <row r="16712" hidden="1" x14ac:dyDescent="0.15"/>
    <row r="16713" hidden="1" x14ac:dyDescent="0.15"/>
    <row r="16714" hidden="1" x14ac:dyDescent="0.15"/>
    <row r="16715" hidden="1" x14ac:dyDescent="0.15"/>
    <row r="16716" hidden="1" x14ac:dyDescent="0.15"/>
    <row r="16717" hidden="1" x14ac:dyDescent="0.15"/>
    <row r="16718" hidden="1" x14ac:dyDescent="0.15"/>
    <row r="16719" hidden="1" x14ac:dyDescent="0.15"/>
    <row r="16720" hidden="1" x14ac:dyDescent="0.15"/>
    <row r="16721" hidden="1" x14ac:dyDescent="0.15"/>
    <row r="16722" hidden="1" x14ac:dyDescent="0.15"/>
    <row r="16723" hidden="1" x14ac:dyDescent="0.15"/>
    <row r="16724" hidden="1" x14ac:dyDescent="0.15"/>
    <row r="16725" hidden="1" x14ac:dyDescent="0.15"/>
    <row r="16726" hidden="1" x14ac:dyDescent="0.15"/>
    <row r="16727" hidden="1" x14ac:dyDescent="0.15"/>
    <row r="16728" hidden="1" x14ac:dyDescent="0.15"/>
    <row r="16729" hidden="1" x14ac:dyDescent="0.15"/>
    <row r="16730" hidden="1" x14ac:dyDescent="0.15"/>
    <row r="16731" hidden="1" x14ac:dyDescent="0.15"/>
    <row r="16732" hidden="1" x14ac:dyDescent="0.15"/>
    <row r="16733" hidden="1" x14ac:dyDescent="0.15"/>
    <row r="16734" hidden="1" x14ac:dyDescent="0.15"/>
    <row r="16735" hidden="1" x14ac:dyDescent="0.15"/>
    <row r="16736" hidden="1" x14ac:dyDescent="0.15"/>
    <row r="16737" hidden="1" x14ac:dyDescent="0.15"/>
    <row r="16738" hidden="1" x14ac:dyDescent="0.15"/>
    <row r="16739" hidden="1" x14ac:dyDescent="0.15"/>
    <row r="16740" hidden="1" x14ac:dyDescent="0.15"/>
    <row r="16741" hidden="1" x14ac:dyDescent="0.15"/>
    <row r="16742" hidden="1" x14ac:dyDescent="0.15"/>
    <row r="16743" hidden="1" x14ac:dyDescent="0.15"/>
    <row r="16744" hidden="1" x14ac:dyDescent="0.15"/>
    <row r="16745" hidden="1" x14ac:dyDescent="0.15"/>
    <row r="16746" hidden="1" x14ac:dyDescent="0.15"/>
    <row r="16747" hidden="1" x14ac:dyDescent="0.15"/>
    <row r="16748" hidden="1" x14ac:dyDescent="0.15"/>
    <row r="16749" hidden="1" x14ac:dyDescent="0.15"/>
    <row r="16750" hidden="1" x14ac:dyDescent="0.15"/>
    <row r="16751" hidden="1" x14ac:dyDescent="0.15"/>
    <row r="16752" hidden="1" x14ac:dyDescent="0.15"/>
    <row r="16753" hidden="1" x14ac:dyDescent="0.15"/>
    <row r="16754" hidden="1" x14ac:dyDescent="0.15"/>
    <row r="16755" hidden="1" x14ac:dyDescent="0.15"/>
    <row r="16756" hidden="1" x14ac:dyDescent="0.15"/>
    <row r="16757" hidden="1" x14ac:dyDescent="0.15"/>
    <row r="16758" hidden="1" x14ac:dyDescent="0.15"/>
    <row r="16759" hidden="1" x14ac:dyDescent="0.15"/>
    <row r="16760" hidden="1" x14ac:dyDescent="0.15"/>
    <row r="16761" hidden="1" x14ac:dyDescent="0.15"/>
    <row r="16762" hidden="1" x14ac:dyDescent="0.15"/>
    <row r="16763" hidden="1" x14ac:dyDescent="0.15"/>
    <row r="16764" hidden="1" x14ac:dyDescent="0.15"/>
    <row r="16765" hidden="1" x14ac:dyDescent="0.15"/>
    <row r="16766" hidden="1" x14ac:dyDescent="0.15"/>
    <row r="16767" hidden="1" x14ac:dyDescent="0.15"/>
    <row r="16768" hidden="1" x14ac:dyDescent="0.15"/>
    <row r="16769" hidden="1" x14ac:dyDescent="0.15"/>
    <row r="16770" hidden="1" x14ac:dyDescent="0.15"/>
    <row r="16771" hidden="1" x14ac:dyDescent="0.15"/>
    <row r="16772" hidden="1" x14ac:dyDescent="0.15"/>
    <row r="16773" hidden="1" x14ac:dyDescent="0.15"/>
    <row r="16774" hidden="1" x14ac:dyDescent="0.15"/>
    <row r="16775" hidden="1" x14ac:dyDescent="0.15"/>
    <row r="16776" hidden="1" x14ac:dyDescent="0.15"/>
    <row r="16777" hidden="1" x14ac:dyDescent="0.15"/>
    <row r="16778" hidden="1" x14ac:dyDescent="0.15"/>
    <row r="16779" hidden="1" x14ac:dyDescent="0.15"/>
    <row r="16780" hidden="1" x14ac:dyDescent="0.15"/>
    <row r="16781" hidden="1" x14ac:dyDescent="0.15"/>
    <row r="16782" hidden="1" x14ac:dyDescent="0.15"/>
    <row r="16783" hidden="1" x14ac:dyDescent="0.15"/>
    <row r="16784" hidden="1" x14ac:dyDescent="0.15"/>
    <row r="16785" hidden="1" x14ac:dyDescent="0.15"/>
    <row r="16786" hidden="1" x14ac:dyDescent="0.15"/>
    <row r="16787" hidden="1" x14ac:dyDescent="0.15"/>
    <row r="16788" hidden="1" x14ac:dyDescent="0.15"/>
    <row r="16789" hidden="1" x14ac:dyDescent="0.15"/>
    <row r="16790" hidden="1" x14ac:dyDescent="0.15"/>
    <row r="16791" hidden="1" x14ac:dyDescent="0.15"/>
    <row r="16792" hidden="1" x14ac:dyDescent="0.15"/>
    <row r="16793" hidden="1" x14ac:dyDescent="0.15"/>
    <row r="16794" hidden="1" x14ac:dyDescent="0.15"/>
    <row r="16795" hidden="1" x14ac:dyDescent="0.15"/>
    <row r="16796" hidden="1" x14ac:dyDescent="0.15"/>
    <row r="16797" hidden="1" x14ac:dyDescent="0.15"/>
    <row r="16798" hidden="1" x14ac:dyDescent="0.15"/>
    <row r="16799" hidden="1" x14ac:dyDescent="0.15"/>
    <row r="16800" hidden="1" x14ac:dyDescent="0.15"/>
    <row r="16801" hidden="1" x14ac:dyDescent="0.15"/>
    <row r="16802" hidden="1" x14ac:dyDescent="0.15"/>
    <row r="16803" hidden="1" x14ac:dyDescent="0.15"/>
    <row r="16804" hidden="1" x14ac:dyDescent="0.15"/>
    <row r="16805" hidden="1" x14ac:dyDescent="0.15"/>
    <row r="16806" hidden="1" x14ac:dyDescent="0.15"/>
    <row r="16807" hidden="1" x14ac:dyDescent="0.15"/>
    <row r="16808" hidden="1" x14ac:dyDescent="0.15"/>
    <row r="16809" hidden="1" x14ac:dyDescent="0.15"/>
    <row r="16810" hidden="1" x14ac:dyDescent="0.15"/>
    <row r="16811" hidden="1" x14ac:dyDescent="0.15"/>
    <row r="16812" hidden="1" x14ac:dyDescent="0.15"/>
    <row r="16813" hidden="1" x14ac:dyDescent="0.15"/>
    <row r="16814" hidden="1" x14ac:dyDescent="0.15"/>
    <row r="16815" hidden="1" x14ac:dyDescent="0.15"/>
    <row r="16816" hidden="1" x14ac:dyDescent="0.15"/>
    <row r="16817" hidden="1" x14ac:dyDescent="0.15"/>
    <row r="16818" hidden="1" x14ac:dyDescent="0.15"/>
    <row r="16819" hidden="1" x14ac:dyDescent="0.15"/>
    <row r="16820" hidden="1" x14ac:dyDescent="0.15"/>
    <row r="16821" hidden="1" x14ac:dyDescent="0.15"/>
    <row r="16822" hidden="1" x14ac:dyDescent="0.15"/>
    <row r="16823" hidden="1" x14ac:dyDescent="0.15"/>
    <row r="16824" hidden="1" x14ac:dyDescent="0.15"/>
    <row r="16825" hidden="1" x14ac:dyDescent="0.15"/>
    <row r="16826" hidden="1" x14ac:dyDescent="0.15"/>
    <row r="16827" hidden="1" x14ac:dyDescent="0.15"/>
    <row r="16828" hidden="1" x14ac:dyDescent="0.15"/>
    <row r="16829" hidden="1" x14ac:dyDescent="0.15"/>
    <row r="16830" hidden="1" x14ac:dyDescent="0.15"/>
    <row r="16831" hidden="1" x14ac:dyDescent="0.15"/>
    <row r="16832" hidden="1" x14ac:dyDescent="0.15"/>
    <row r="16833" hidden="1" x14ac:dyDescent="0.15"/>
    <row r="16834" hidden="1" x14ac:dyDescent="0.15"/>
    <row r="16835" hidden="1" x14ac:dyDescent="0.15"/>
    <row r="16836" hidden="1" x14ac:dyDescent="0.15"/>
    <row r="16837" hidden="1" x14ac:dyDescent="0.15"/>
    <row r="16838" hidden="1" x14ac:dyDescent="0.15"/>
    <row r="16839" hidden="1" x14ac:dyDescent="0.15"/>
    <row r="16840" hidden="1" x14ac:dyDescent="0.15"/>
    <row r="16841" hidden="1" x14ac:dyDescent="0.15"/>
    <row r="16842" hidden="1" x14ac:dyDescent="0.15"/>
    <row r="16843" hidden="1" x14ac:dyDescent="0.15"/>
    <row r="16844" hidden="1" x14ac:dyDescent="0.15"/>
    <row r="16845" hidden="1" x14ac:dyDescent="0.15"/>
    <row r="16846" hidden="1" x14ac:dyDescent="0.15"/>
    <row r="16847" hidden="1" x14ac:dyDescent="0.15"/>
    <row r="16848" hidden="1" x14ac:dyDescent="0.15"/>
    <row r="16849" hidden="1" x14ac:dyDescent="0.15"/>
    <row r="16850" hidden="1" x14ac:dyDescent="0.15"/>
    <row r="16851" hidden="1" x14ac:dyDescent="0.15"/>
    <row r="16852" hidden="1" x14ac:dyDescent="0.15"/>
    <row r="16853" hidden="1" x14ac:dyDescent="0.15"/>
    <row r="16854" hidden="1" x14ac:dyDescent="0.15"/>
    <row r="16855" hidden="1" x14ac:dyDescent="0.15"/>
    <row r="16856" hidden="1" x14ac:dyDescent="0.15"/>
    <row r="16857" hidden="1" x14ac:dyDescent="0.15"/>
    <row r="16858" hidden="1" x14ac:dyDescent="0.15"/>
    <row r="16859" hidden="1" x14ac:dyDescent="0.15"/>
    <row r="16860" hidden="1" x14ac:dyDescent="0.15"/>
    <row r="16861" hidden="1" x14ac:dyDescent="0.15"/>
    <row r="16862" hidden="1" x14ac:dyDescent="0.15"/>
    <row r="16863" hidden="1" x14ac:dyDescent="0.15"/>
    <row r="16864" hidden="1" x14ac:dyDescent="0.15"/>
    <row r="16865" hidden="1" x14ac:dyDescent="0.15"/>
    <row r="16866" hidden="1" x14ac:dyDescent="0.15"/>
    <row r="16867" hidden="1" x14ac:dyDescent="0.15"/>
    <row r="16868" hidden="1" x14ac:dyDescent="0.15"/>
    <row r="16869" hidden="1" x14ac:dyDescent="0.15"/>
    <row r="16870" hidden="1" x14ac:dyDescent="0.15"/>
    <row r="16871" hidden="1" x14ac:dyDescent="0.15"/>
    <row r="16872" hidden="1" x14ac:dyDescent="0.15"/>
    <row r="16873" hidden="1" x14ac:dyDescent="0.15"/>
    <row r="16874" hidden="1" x14ac:dyDescent="0.15"/>
    <row r="16875" hidden="1" x14ac:dyDescent="0.15"/>
    <row r="16876" hidden="1" x14ac:dyDescent="0.15"/>
    <row r="16877" hidden="1" x14ac:dyDescent="0.15"/>
    <row r="16878" hidden="1" x14ac:dyDescent="0.15"/>
    <row r="16879" hidden="1" x14ac:dyDescent="0.15"/>
    <row r="16880" hidden="1" x14ac:dyDescent="0.15"/>
    <row r="16881" hidden="1" x14ac:dyDescent="0.15"/>
    <row r="16882" hidden="1" x14ac:dyDescent="0.15"/>
    <row r="16883" hidden="1" x14ac:dyDescent="0.15"/>
    <row r="16884" hidden="1" x14ac:dyDescent="0.15"/>
    <row r="16885" hidden="1" x14ac:dyDescent="0.15"/>
    <row r="16886" hidden="1" x14ac:dyDescent="0.15"/>
    <row r="16887" hidden="1" x14ac:dyDescent="0.15"/>
    <row r="16888" hidden="1" x14ac:dyDescent="0.15"/>
    <row r="16889" hidden="1" x14ac:dyDescent="0.15"/>
    <row r="16890" hidden="1" x14ac:dyDescent="0.15"/>
    <row r="16891" hidden="1" x14ac:dyDescent="0.15"/>
    <row r="16892" hidden="1" x14ac:dyDescent="0.15"/>
    <row r="16893" hidden="1" x14ac:dyDescent="0.15"/>
    <row r="16894" hidden="1" x14ac:dyDescent="0.15"/>
    <row r="16895" hidden="1" x14ac:dyDescent="0.15"/>
    <row r="16896" hidden="1" x14ac:dyDescent="0.15"/>
    <row r="16897" hidden="1" x14ac:dyDescent="0.15"/>
    <row r="16898" hidden="1" x14ac:dyDescent="0.15"/>
    <row r="16899" hidden="1" x14ac:dyDescent="0.15"/>
    <row r="16900" hidden="1" x14ac:dyDescent="0.15"/>
    <row r="16901" hidden="1" x14ac:dyDescent="0.15"/>
    <row r="16902" hidden="1" x14ac:dyDescent="0.15"/>
    <row r="16903" hidden="1" x14ac:dyDescent="0.15"/>
    <row r="16904" hidden="1" x14ac:dyDescent="0.15"/>
    <row r="16905" hidden="1" x14ac:dyDescent="0.15"/>
    <row r="16906" hidden="1" x14ac:dyDescent="0.15"/>
    <row r="16907" hidden="1" x14ac:dyDescent="0.15"/>
    <row r="16908" hidden="1" x14ac:dyDescent="0.15"/>
    <row r="16909" hidden="1" x14ac:dyDescent="0.15"/>
    <row r="16910" hidden="1" x14ac:dyDescent="0.15"/>
    <row r="16911" hidden="1" x14ac:dyDescent="0.15"/>
    <row r="16912" hidden="1" x14ac:dyDescent="0.15"/>
    <row r="16913" hidden="1" x14ac:dyDescent="0.15"/>
    <row r="16914" hidden="1" x14ac:dyDescent="0.15"/>
    <row r="16915" hidden="1" x14ac:dyDescent="0.15"/>
    <row r="16916" hidden="1" x14ac:dyDescent="0.15"/>
    <row r="16917" hidden="1" x14ac:dyDescent="0.15"/>
    <row r="16918" hidden="1" x14ac:dyDescent="0.15"/>
    <row r="16919" hidden="1" x14ac:dyDescent="0.15"/>
    <row r="16920" hidden="1" x14ac:dyDescent="0.15"/>
    <row r="16921" hidden="1" x14ac:dyDescent="0.15"/>
    <row r="16922" hidden="1" x14ac:dyDescent="0.15"/>
    <row r="16923" hidden="1" x14ac:dyDescent="0.15"/>
    <row r="16924" hidden="1" x14ac:dyDescent="0.15"/>
    <row r="16925" hidden="1" x14ac:dyDescent="0.15"/>
    <row r="16926" hidden="1" x14ac:dyDescent="0.15"/>
    <row r="16927" hidden="1" x14ac:dyDescent="0.15"/>
    <row r="16928" hidden="1" x14ac:dyDescent="0.15"/>
    <row r="16929" hidden="1" x14ac:dyDescent="0.15"/>
    <row r="16930" hidden="1" x14ac:dyDescent="0.15"/>
    <row r="16931" hidden="1" x14ac:dyDescent="0.15"/>
    <row r="16932" hidden="1" x14ac:dyDescent="0.15"/>
    <row r="16933" hidden="1" x14ac:dyDescent="0.15"/>
    <row r="16934" hidden="1" x14ac:dyDescent="0.15"/>
    <row r="16935" hidden="1" x14ac:dyDescent="0.15"/>
    <row r="16936" hidden="1" x14ac:dyDescent="0.15"/>
    <row r="16937" hidden="1" x14ac:dyDescent="0.15"/>
    <row r="16938" hidden="1" x14ac:dyDescent="0.15"/>
    <row r="16939" hidden="1" x14ac:dyDescent="0.15"/>
    <row r="16940" hidden="1" x14ac:dyDescent="0.15"/>
    <row r="16941" hidden="1" x14ac:dyDescent="0.15"/>
    <row r="16942" hidden="1" x14ac:dyDescent="0.15"/>
    <row r="16943" hidden="1" x14ac:dyDescent="0.15"/>
    <row r="16944" hidden="1" x14ac:dyDescent="0.15"/>
    <row r="16945" hidden="1" x14ac:dyDescent="0.15"/>
    <row r="16946" hidden="1" x14ac:dyDescent="0.15"/>
    <row r="16947" hidden="1" x14ac:dyDescent="0.15"/>
    <row r="16948" hidden="1" x14ac:dyDescent="0.15"/>
    <row r="16949" hidden="1" x14ac:dyDescent="0.15"/>
    <row r="16950" hidden="1" x14ac:dyDescent="0.15"/>
    <row r="16951" hidden="1" x14ac:dyDescent="0.15"/>
    <row r="16952" hidden="1" x14ac:dyDescent="0.15"/>
    <row r="16953" hidden="1" x14ac:dyDescent="0.15"/>
    <row r="16954" hidden="1" x14ac:dyDescent="0.15"/>
    <row r="16955" hidden="1" x14ac:dyDescent="0.15"/>
    <row r="16956" hidden="1" x14ac:dyDescent="0.15"/>
    <row r="16957" hidden="1" x14ac:dyDescent="0.15"/>
    <row r="16958" hidden="1" x14ac:dyDescent="0.15"/>
    <row r="16959" hidden="1" x14ac:dyDescent="0.15"/>
    <row r="16960" hidden="1" x14ac:dyDescent="0.15"/>
    <row r="16961" hidden="1" x14ac:dyDescent="0.15"/>
    <row r="16962" hidden="1" x14ac:dyDescent="0.15"/>
    <row r="16963" hidden="1" x14ac:dyDescent="0.15"/>
    <row r="16964" hidden="1" x14ac:dyDescent="0.15"/>
    <row r="16965" hidden="1" x14ac:dyDescent="0.15"/>
    <row r="16966" hidden="1" x14ac:dyDescent="0.15"/>
    <row r="16967" hidden="1" x14ac:dyDescent="0.15"/>
    <row r="16968" hidden="1" x14ac:dyDescent="0.15"/>
    <row r="16969" hidden="1" x14ac:dyDescent="0.15"/>
    <row r="16970" hidden="1" x14ac:dyDescent="0.15"/>
    <row r="16971" hidden="1" x14ac:dyDescent="0.15"/>
    <row r="16972" hidden="1" x14ac:dyDescent="0.15"/>
    <row r="16973" hidden="1" x14ac:dyDescent="0.15"/>
    <row r="16974" hidden="1" x14ac:dyDescent="0.15"/>
    <row r="16975" hidden="1" x14ac:dyDescent="0.15"/>
    <row r="16976" hidden="1" x14ac:dyDescent="0.15"/>
    <row r="16977" hidden="1" x14ac:dyDescent="0.15"/>
    <row r="16978" hidden="1" x14ac:dyDescent="0.15"/>
    <row r="16979" hidden="1" x14ac:dyDescent="0.15"/>
    <row r="16980" hidden="1" x14ac:dyDescent="0.15"/>
    <row r="16981" hidden="1" x14ac:dyDescent="0.15"/>
    <row r="16982" hidden="1" x14ac:dyDescent="0.15"/>
    <row r="16983" hidden="1" x14ac:dyDescent="0.15"/>
    <row r="16984" hidden="1" x14ac:dyDescent="0.15"/>
    <row r="16985" hidden="1" x14ac:dyDescent="0.15"/>
    <row r="16986" hidden="1" x14ac:dyDescent="0.15"/>
    <row r="16987" hidden="1" x14ac:dyDescent="0.15"/>
    <row r="16988" hidden="1" x14ac:dyDescent="0.15"/>
    <row r="16989" hidden="1" x14ac:dyDescent="0.15"/>
    <row r="16990" hidden="1" x14ac:dyDescent="0.15"/>
    <row r="16991" hidden="1" x14ac:dyDescent="0.15"/>
    <row r="16992" hidden="1" x14ac:dyDescent="0.15"/>
    <row r="16993" hidden="1" x14ac:dyDescent="0.15"/>
    <row r="16994" hidden="1" x14ac:dyDescent="0.15"/>
    <row r="16995" hidden="1" x14ac:dyDescent="0.15"/>
    <row r="16996" hidden="1" x14ac:dyDescent="0.15"/>
    <row r="16997" hidden="1" x14ac:dyDescent="0.15"/>
    <row r="16998" hidden="1" x14ac:dyDescent="0.15"/>
    <row r="16999" hidden="1" x14ac:dyDescent="0.15"/>
    <row r="17000" hidden="1" x14ac:dyDescent="0.15"/>
    <row r="17001" hidden="1" x14ac:dyDescent="0.15"/>
    <row r="17002" hidden="1" x14ac:dyDescent="0.15"/>
    <row r="17003" hidden="1" x14ac:dyDescent="0.15"/>
    <row r="17004" hidden="1" x14ac:dyDescent="0.15"/>
    <row r="17005" hidden="1" x14ac:dyDescent="0.15"/>
    <row r="17006" hidden="1" x14ac:dyDescent="0.15"/>
    <row r="17007" hidden="1" x14ac:dyDescent="0.15"/>
    <row r="17008" hidden="1" x14ac:dyDescent="0.15"/>
    <row r="17009" hidden="1" x14ac:dyDescent="0.15"/>
    <row r="17010" hidden="1" x14ac:dyDescent="0.15"/>
    <row r="17011" hidden="1" x14ac:dyDescent="0.15"/>
    <row r="17012" hidden="1" x14ac:dyDescent="0.15"/>
    <row r="17013" hidden="1" x14ac:dyDescent="0.15"/>
    <row r="17014" hidden="1" x14ac:dyDescent="0.15"/>
    <row r="17015" hidden="1" x14ac:dyDescent="0.15"/>
    <row r="17016" hidden="1" x14ac:dyDescent="0.15"/>
    <row r="17017" hidden="1" x14ac:dyDescent="0.15"/>
    <row r="17018" hidden="1" x14ac:dyDescent="0.15"/>
    <row r="17019" hidden="1" x14ac:dyDescent="0.15"/>
    <row r="17020" hidden="1" x14ac:dyDescent="0.15"/>
    <row r="17021" hidden="1" x14ac:dyDescent="0.15"/>
    <row r="17022" hidden="1" x14ac:dyDescent="0.15"/>
    <row r="17023" hidden="1" x14ac:dyDescent="0.15"/>
    <row r="17024" hidden="1" x14ac:dyDescent="0.15"/>
    <row r="17025" hidden="1" x14ac:dyDescent="0.15"/>
    <row r="17026" hidden="1" x14ac:dyDescent="0.15"/>
    <row r="17027" hidden="1" x14ac:dyDescent="0.15"/>
    <row r="17028" hidden="1" x14ac:dyDescent="0.15"/>
    <row r="17029" hidden="1" x14ac:dyDescent="0.15"/>
    <row r="17030" hidden="1" x14ac:dyDescent="0.15"/>
    <row r="17031" hidden="1" x14ac:dyDescent="0.15"/>
    <row r="17032" hidden="1" x14ac:dyDescent="0.15"/>
    <row r="17033" hidden="1" x14ac:dyDescent="0.15"/>
    <row r="17034" hidden="1" x14ac:dyDescent="0.15"/>
    <row r="17035" hidden="1" x14ac:dyDescent="0.15"/>
    <row r="17036" hidden="1" x14ac:dyDescent="0.15"/>
    <row r="17037" hidden="1" x14ac:dyDescent="0.15"/>
    <row r="17038" hidden="1" x14ac:dyDescent="0.15"/>
    <row r="17039" hidden="1" x14ac:dyDescent="0.15"/>
    <row r="17040" hidden="1" x14ac:dyDescent="0.15"/>
    <row r="17041" hidden="1" x14ac:dyDescent="0.15"/>
    <row r="17042" hidden="1" x14ac:dyDescent="0.15"/>
    <row r="17043" hidden="1" x14ac:dyDescent="0.15"/>
    <row r="17044" hidden="1" x14ac:dyDescent="0.15"/>
    <row r="17045" hidden="1" x14ac:dyDescent="0.15"/>
    <row r="17046" hidden="1" x14ac:dyDescent="0.15"/>
    <row r="17047" hidden="1" x14ac:dyDescent="0.15"/>
    <row r="17048" hidden="1" x14ac:dyDescent="0.15"/>
    <row r="17049" hidden="1" x14ac:dyDescent="0.15"/>
    <row r="17050" hidden="1" x14ac:dyDescent="0.15"/>
    <row r="17051" hidden="1" x14ac:dyDescent="0.15"/>
    <row r="17052" hidden="1" x14ac:dyDescent="0.15"/>
    <row r="17053" hidden="1" x14ac:dyDescent="0.15"/>
    <row r="17054" hidden="1" x14ac:dyDescent="0.15"/>
    <row r="17055" hidden="1" x14ac:dyDescent="0.15"/>
    <row r="17056" hidden="1" x14ac:dyDescent="0.15"/>
    <row r="17057" hidden="1" x14ac:dyDescent="0.15"/>
    <row r="17058" hidden="1" x14ac:dyDescent="0.15"/>
    <row r="17059" hidden="1" x14ac:dyDescent="0.15"/>
    <row r="17060" hidden="1" x14ac:dyDescent="0.15"/>
    <row r="17061" hidden="1" x14ac:dyDescent="0.15"/>
    <row r="17062" hidden="1" x14ac:dyDescent="0.15"/>
    <row r="17063" hidden="1" x14ac:dyDescent="0.15"/>
    <row r="17064" hidden="1" x14ac:dyDescent="0.15"/>
    <row r="17065" hidden="1" x14ac:dyDescent="0.15"/>
    <row r="17066" hidden="1" x14ac:dyDescent="0.15"/>
    <row r="17067" hidden="1" x14ac:dyDescent="0.15"/>
    <row r="17068" hidden="1" x14ac:dyDescent="0.15"/>
    <row r="17069" hidden="1" x14ac:dyDescent="0.15"/>
    <row r="17070" hidden="1" x14ac:dyDescent="0.15"/>
    <row r="17071" hidden="1" x14ac:dyDescent="0.15"/>
    <row r="17072" hidden="1" x14ac:dyDescent="0.15"/>
    <row r="17073" hidden="1" x14ac:dyDescent="0.15"/>
    <row r="17074" hidden="1" x14ac:dyDescent="0.15"/>
    <row r="17075" hidden="1" x14ac:dyDescent="0.15"/>
    <row r="17076" hidden="1" x14ac:dyDescent="0.15"/>
    <row r="17077" hidden="1" x14ac:dyDescent="0.15"/>
    <row r="17078" hidden="1" x14ac:dyDescent="0.15"/>
    <row r="17079" hidden="1" x14ac:dyDescent="0.15"/>
    <row r="17080" hidden="1" x14ac:dyDescent="0.15"/>
    <row r="17081" hidden="1" x14ac:dyDescent="0.15"/>
    <row r="17082" hidden="1" x14ac:dyDescent="0.15"/>
    <row r="17083" hidden="1" x14ac:dyDescent="0.15"/>
    <row r="17084" hidden="1" x14ac:dyDescent="0.15"/>
    <row r="17085" hidden="1" x14ac:dyDescent="0.15"/>
    <row r="17086" hidden="1" x14ac:dyDescent="0.15"/>
    <row r="17087" hidden="1" x14ac:dyDescent="0.15"/>
    <row r="17088" hidden="1" x14ac:dyDescent="0.15"/>
    <row r="17089" hidden="1" x14ac:dyDescent="0.15"/>
    <row r="17090" hidden="1" x14ac:dyDescent="0.15"/>
    <row r="17091" hidden="1" x14ac:dyDescent="0.15"/>
    <row r="17092" hidden="1" x14ac:dyDescent="0.15"/>
    <row r="17093" hidden="1" x14ac:dyDescent="0.15"/>
    <row r="17094" hidden="1" x14ac:dyDescent="0.15"/>
    <row r="17095" hidden="1" x14ac:dyDescent="0.15"/>
    <row r="17096" hidden="1" x14ac:dyDescent="0.15"/>
    <row r="17097" hidden="1" x14ac:dyDescent="0.15"/>
    <row r="17098" hidden="1" x14ac:dyDescent="0.15"/>
    <row r="17099" hidden="1" x14ac:dyDescent="0.15"/>
    <row r="17100" hidden="1" x14ac:dyDescent="0.15"/>
    <row r="17101" hidden="1" x14ac:dyDescent="0.15"/>
    <row r="17102" hidden="1" x14ac:dyDescent="0.15"/>
    <row r="17103" hidden="1" x14ac:dyDescent="0.15"/>
    <row r="17104" hidden="1" x14ac:dyDescent="0.15"/>
    <row r="17105" hidden="1" x14ac:dyDescent="0.15"/>
    <row r="17106" hidden="1" x14ac:dyDescent="0.15"/>
    <row r="17107" hidden="1" x14ac:dyDescent="0.15"/>
    <row r="17108" hidden="1" x14ac:dyDescent="0.15"/>
    <row r="17109" hidden="1" x14ac:dyDescent="0.15"/>
    <row r="17110" hidden="1" x14ac:dyDescent="0.15"/>
    <row r="17111" hidden="1" x14ac:dyDescent="0.15"/>
    <row r="17112" hidden="1" x14ac:dyDescent="0.15"/>
    <row r="17113" hidden="1" x14ac:dyDescent="0.15"/>
    <row r="17114" hidden="1" x14ac:dyDescent="0.15"/>
    <row r="17115" hidden="1" x14ac:dyDescent="0.15"/>
    <row r="17116" hidden="1" x14ac:dyDescent="0.15"/>
    <row r="17117" hidden="1" x14ac:dyDescent="0.15"/>
    <row r="17118" hidden="1" x14ac:dyDescent="0.15"/>
    <row r="17119" hidden="1" x14ac:dyDescent="0.15"/>
    <row r="17120" hidden="1" x14ac:dyDescent="0.15"/>
    <row r="17121" hidden="1" x14ac:dyDescent="0.15"/>
    <row r="17122" hidden="1" x14ac:dyDescent="0.15"/>
    <row r="17123" hidden="1" x14ac:dyDescent="0.15"/>
    <row r="17124" hidden="1" x14ac:dyDescent="0.15"/>
    <row r="17125" hidden="1" x14ac:dyDescent="0.15"/>
    <row r="17126" hidden="1" x14ac:dyDescent="0.15"/>
    <row r="17127" hidden="1" x14ac:dyDescent="0.15"/>
    <row r="17128" hidden="1" x14ac:dyDescent="0.15"/>
    <row r="17129" hidden="1" x14ac:dyDescent="0.15"/>
    <row r="17130" hidden="1" x14ac:dyDescent="0.15"/>
    <row r="17131" hidden="1" x14ac:dyDescent="0.15"/>
    <row r="17132" hidden="1" x14ac:dyDescent="0.15"/>
    <row r="17133" hidden="1" x14ac:dyDescent="0.15"/>
    <row r="17134" hidden="1" x14ac:dyDescent="0.15"/>
    <row r="17135" hidden="1" x14ac:dyDescent="0.15"/>
    <row r="17136" hidden="1" x14ac:dyDescent="0.15"/>
    <row r="17137" hidden="1" x14ac:dyDescent="0.15"/>
    <row r="17138" hidden="1" x14ac:dyDescent="0.15"/>
    <row r="17139" hidden="1" x14ac:dyDescent="0.15"/>
    <row r="17140" hidden="1" x14ac:dyDescent="0.15"/>
    <row r="17141" hidden="1" x14ac:dyDescent="0.15"/>
    <row r="17142" hidden="1" x14ac:dyDescent="0.15"/>
    <row r="17143" hidden="1" x14ac:dyDescent="0.15"/>
    <row r="17144" hidden="1" x14ac:dyDescent="0.15"/>
    <row r="17145" hidden="1" x14ac:dyDescent="0.15"/>
    <row r="17146" hidden="1" x14ac:dyDescent="0.15"/>
    <row r="17147" hidden="1" x14ac:dyDescent="0.15"/>
    <row r="17148" hidden="1" x14ac:dyDescent="0.15"/>
    <row r="17149" hidden="1" x14ac:dyDescent="0.15"/>
    <row r="17150" hidden="1" x14ac:dyDescent="0.15"/>
    <row r="17151" hidden="1" x14ac:dyDescent="0.15"/>
    <row r="17152" hidden="1" x14ac:dyDescent="0.15"/>
    <row r="17153" hidden="1" x14ac:dyDescent="0.15"/>
    <row r="17154" hidden="1" x14ac:dyDescent="0.15"/>
    <row r="17155" hidden="1" x14ac:dyDescent="0.15"/>
    <row r="17156" hidden="1" x14ac:dyDescent="0.15"/>
    <row r="17157" hidden="1" x14ac:dyDescent="0.15"/>
    <row r="17158" hidden="1" x14ac:dyDescent="0.15"/>
    <row r="17159" hidden="1" x14ac:dyDescent="0.15"/>
    <row r="17160" hidden="1" x14ac:dyDescent="0.15"/>
    <row r="17161" hidden="1" x14ac:dyDescent="0.15"/>
    <row r="17162" hidden="1" x14ac:dyDescent="0.15"/>
    <row r="17163" hidden="1" x14ac:dyDescent="0.15"/>
    <row r="17164" hidden="1" x14ac:dyDescent="0.15"/>
    <row r="17165" hidden="1" x14ac:dyDescent="0.15"/>
    <row r="17166" hidden="1" x14ac:dyDescent="0.15"/>
    <row r="17167" hidden="1" x14ac:dyDescent="0.15"/>
    <row r="17168" hidden="1" x14ac:dyDescent="0.15"/>
    <row r="17169" hidden="1" x14ac:dyDescent="0.15"/>
    <row r="17170" hidden="1" x14ac:dyDescent="0.15"/>
    <row r="17171" hidden="1" x14ac:dyDescent="0.15"/>
    <row r="17172" hidden="1" x14ac:dyDescent="0.15"/>
    <row r="17173" hidden="1" x14ac:dyDescent="0.15"/>
    <row r="17174" hidden="1" x14ac:dyDescent="0.15"/>
    <row r="17175" hidden="1" x14ac:dyDescent="0.15"/>
    <row r="17176" hidden="1" x14ac:dyDescent="0.15"/>
    <row r="17177" hidden="1" x14ac:dyDescent="0.15"/>
    <row r="17178" hidden="1" x14ac:dyDescent="0.15"/>
    <row r="17179" hidden="1" x14ac:dyDescent="0.15"/>
    <row r="17180" hidden="1" x14ac:dyDescent="0.15"/>
    <row r="17181" hidden="1" x14ac:dyDescent="0.15"/>
    <row r="17182" hidden="1" x14ac:dyDescent="0.15"/>
    <row r="17183" hidden="1" x14ac:dyDescent="0.15"/>
    <row r="17184" hidden="1" x14ac:dyDescent="0.15"/>
    <row r="17185" hidden="1" x14ac:dyDescent="0.15"/>
    <row r="17186" hidden="1" x14ac:dyDescent="0.15"/>
    <row r="17187" hidden="1" x14ac:dyDescent="0.15"/>
    <row r="17188" hidden="1" x14ac:dyDescent="0.15"/>
    <row r="17189" hidden="1" x14ac:dyDescent="0.15"/>
    <row r="17190" hidden="1" x14ac:dyDescent="0.15"/>
    <row r="17191" hidden="1" x14ac:dyDescent="0.15"/>
    <row r="17192" hidden="1" x14ac:dyDescent="0.15"/>
    <row r="17193" hidden="1" x14ac:dyDescent="0.15"/>
    <row r="17194" hidden="1" x14ac:dyDescent="0.15"/>
    <row r="17195" hidden="1" x14ac:dyDescent="0.15"/>
    <row r="17196" hidden="1" x14ac:dyDescent="0.15"/>
    <row r="17197" hidden="1" x14ac:dyDescent="0.15"/>
    <row r="17198" hidden="1" x14ac:dyDescent="0.15"/>
    <row r="17199" hidden="1" x14ac:dyDescent="0.15"/>
    <row r="17200" hidden="1" x14ac:dyDescent="0.15"/>
    <row r="17201" hidden="1" x14ac:dyDescent="0.15"/>
    <row r="17202" hidden="1" x14ac:dyDescent="0.15"/>
    <row r="17203" hidden="1" x14ac:dyDescent="0.15"/>
    <row r="17204" hidden="1" x14ac:dyDescent="0.15"/>
    <row r="17205" hidden="1" x14ac:dyDescent="0.15"/>
    <row r="17206" hidden="1" x14ac:dyDescent="0.15"/>
    <row r="17207" hidden="1" x14ac:dyDescent="0.15"/>
    <row r="17208" hidden="1" x14ac:dyDescent="0.15"/>
    <row r="17209" hidden="1" x14ac:dyDescent="0.15"/>
    <row r="17210" hidden="1" x14ac:dyDescent="0.15"/>
    <row r="17211" hidden="1" x14ac:dyDescent="0.15"/>
    <row r="17212" hidden="1" x14ac:dyDescent="0.15"/>
    <row r="17213" hidden="1" x14ac:dyDescent="0.15"/>
    <row r="17214" hidden="1" x14ac:dyDescent="0.15"/>
    <row r="17215" hidden="1" x14ac:dyDescent="0.15"/>
    <row r="17216" hidden="1" x14ac:dyDescent="0.15"/>
    <row r="17217" hidden="1" x14ac:dyDescent="0.15"/>
    <row r="17218" hidden="1" x14ac:dyDescent="0.15"/>
    <row r="17219" hidden="1" x14ac:dyDescent="0.15"/>
    <row r="17220" hidden="1" x14ac:dyDescent="0.15"/>
    <row r="17221" hidden="1" x14ac:dyDescent="0.15"/>
    <row r="17222" hidden="1" x14ac:dyDescent="0.15"/>
    <row r="17223" hidden="1" x14ac:dyDescent="0.15"/>
    <row r="17224" hidden="1" x14ac:dyDescent="0.15"/>
    <row r="17225" hidden="1" x14ac:dyDescent="0.15"/>
    <row r="17226" hidden="1" x14ac:dyDescent="0.15"/>
    <row r="17227" hidden="1" x14ac:dyDescent="0.15"/>
    <row r="17228" hidden="1" x14ac:dyDescent="0.15"/>
    <row r="17229" hidden="1" x14ac:dyDescent="0.15"/>
    <row r="17230" hidden="1" x14ac:dyDescent="0.15"/>
    <row r="17231" hidden="1" x14ac:dyDescent="0.15"/>
    <row r="17232" hidden="1" x14ac:dyDescent="0.15"/>
    <row r="17233" hidden="1" x14ac:dyDescent="0.15"/>
    <row r="17234" hidden="1" x14ac:dyDescent="0.15"/>
    <row r="17235" hidden="1" x14ac:dyDescent="0.15"/>
    <row r="17236" hidden="1" x14ac:dyDescent="0.15"/>
    <row r="17237" hidden="1" x14ac:dyDescent="0.15"/>
    <row r="17238" hidden="1" x14ac:dyDescent="0.15"/>
    <row r="17239" hidden="1" x14ac:dyDescent="0.15"/>
    <row r="17240" hidden="1" x14ac:dyDescent="0.15"/>
    <row r="17241" hidden="1" x14ac:dyDescent="0.15"/>
    <row r="17242" hidden="1" x14ac:dyDescent="0.15"/>
    <row r="17243" hidden="1" x14ac:dyDescent="0.15"/>
    <row r="17244" hidden="1" x14ac:dyDescent="0.15"/>
    <row r="17245" hidden="1" x14ac:dyDescent="0.15"/>
    <row r="17246" hidden="1" x14ac:dyDescent="0.15"/>
    <row r="17247" hidden="1" x14ac:dyDescent="0.15"/>
    <row r="17248" hidden="1" x14ac:dyDescent="0.15"/>
    <row r="17249" hidden="1" x14ac:dyDescent="0.15"/>
    <row r="17250" hidden="1" x14ac:dyDescent="0.15"/>
    <row r="17251" hidden="1" x14ac:dyDescent="0.15"/>
    <row r="17252" hidden="1" x14ac:dyDescent="0.15"/>
    <row r="17253" hidden="1" x14ac:dyDescent="0.15"/>
    <row r="17254" hidden="1" x14ac:dyDescent="0.15"/>
    <row r="17255" hidden="1" x14ac:dyDescent="0.15"/>
    <row r="17256" hidden="1" x14ac:dyDescent="0.15"/>
    <row r="17257" hidden="1" x14ac:dyDescent="0.15"/>
    <row r="17258" hidden="1" x14ac:dyDescent="0.15"/>
    <row r="17259" hidden="1" x14ac:dyDescent="0.15"/>
    <row r="17260" hidden="1" x14ac:dyDescent="0.15"/>
    <row r="17261" hidden="1" x14ac:dyDescent="0.15"/>
    <row r="17262" hidden="1" x14ac:dyDescent="0.15"/>
    <row r="17263" hidden="1" x14ac:dyDescent="0.15"/>
    <row r="17264" hidden="1" x14ac:dyDescent="0.15"/>
    <row r="17265" hidden="1" x14ac:dyDescent="0.15"/>
    <row r="17266" hidden="1" x14ac:dyDescent="0.15"/>
    <row r="17267" hidden="1" x14ac:dyDescent="0.15"/>
    <row r="17268" hidden="1" x14ac:dyDescent="0.15"/>
    <row r="17269" hidden="1" x14ac:dyDescent="0.15"/>
    <row r="17270" hidden="1" x14ac:dyDescent="0.15"/>
    <row r="17271" hidden="1" x14ac:dyDescent="0.15"/>
    <row r="17272" hidden="1" x14ac:dyDescent="0.15"/>
    <row r="17273" hidden="1" x14ac:dyDescent="0.15"/>
    <row r="17274" hidden="1" x14ac:dyDescent="0.15"/>
    <row r="17275" hidden="1" x14ac:dyDescent="0.15"/>
    <row r="17276" hidden="1" x14ac:dyDescent="0.15"/>
    <row r="17277" hidden="1" x14ac:dyDescent="0.15"/>
    <row r="17278" hidden="1" x14ac:dyDescent="0.15"/>
    <row r="17279" hidden="1" x14ac:dyDescent="0.15"/>
    <row r="17280" hidden="1" x14ac:dyDescent="0.15"/>
    <row r="17281" hidden="1" x14ac:dyDescent="0.15"/>
    <row r="17282" hidden="1" x14ac:dyDescent="0.15"/>
    <row r="17283" hidden="1" x14ac:dyDescent="0.15"/>
    <row r="17284" hidden="1" x14ac:dyDescent="0.15"/>
    <row r="17285" hidden="1" x14ac:dyDescent="0.15"/>
    <row r="17286" hidden="1" x14ac:dyDescent="0.15"/>
    <row r="17287" hidden="1" x14ac:dyDescent="0.15"/>
    <row r="17288" hidden="1" x14ac:dyDescent="0.15"/>
    <row r="17289" hidden="1" x14ac:dyDescent="0.15"/>
    <row r="17290" hidden="1" x14ac:dyDescent="0.15"/>
    <row r="17291" hidden="1" x14ac:dyDescent="0.15"/>
    <row r="17292" hidden="1" x14ac:dyDescent="0.15"/>
    <row r="17293" hidden="1" x14ac:dyDescent="0.15"/>
    <row r="17294" hidden="1" x14ac:dyDescent="0.15"/>
    <row r="17295" hidden="1" x14ac:dyDescent="0.15"/>
    <row r="17296" hidden="1" x14ac:dyDescent="0.15"/>
    <row r="17297" hidden="1" x14ac:dyDescent="0.15"/>
    <row r="17298" hidden="1" x14ac:dyDescent="0.15"/>
    <row r="17299" hidden="1" x14ac:dyDescent="0.15"/>
    <row r="17300" hidden="1" x14ac:dyDescent="0.15"/>
    <row r="17301" hidden="1" x14ac:dyDescent="0.15"/>
    <row r="17302" hidden="1" x14ac:dyDescent="0.15"/>
    <row r="17303" hidden="1" x14ac:dyDescent="0.15"/>
    <row r="17304" hidden="1" x14ac:dyDescent="0.15"/>
    <row r="17305" hidden="1" x14ac:dyDescent="0.15"/>
    <row r="17306" hidden="1" x14ac:dyDescent="0.15"/>
    <row r="17307" hidden="1" x14ac:dyDescent="0.15"/>
    <row r="17308" hidden="1" x14ac:dyDescent="0.15"/>
    <row r="17309" hidden="1" x14ac:dyDescent="0.15"/>
    <row r="17310" hidden="1" x14ac:dyDescent="0.15"/>
    <row r="17311" hidden="1" x14ac:dyDescent="0.15"/>
    <row r="17312" hidden="1" x14ac:dyDescent="0.15"/>
    <row r="17313" hidden="1" x14ac:dyDescent="0.15"/>
    <row r="17314" hidden="1" x14ac:dyDescent="0.15"/>
    <row r="17315" hidden="1" x14ac:dyDescent="0.15"/>
    <row r="17316" hidden="1" x14ac:dyDescent="0.15"/>
    <row r="17317" hidden="1" x14ac:dyDescent="0.15"/>
    <row r="17318" hidden="1" x14ac:dyDescent="0.15"/>
    <row r="17319" hidden="1" x14ac:dyDescent="0.15"/>
    <row r="17320" hidden="1" x14ac:dyDescent="0.15"/>
    <row r="17321" hidden="1" x14ac:dyDescent="0.15"/>
    <row r="17322" hidden="1" x14ac:dyDescent="0.15"/>
    <row r="17323" hidden="1" x14ac:dyDescent="0.15"/>
    <row r="17324" hidden="1" x14ac:dyDescent="0.15"/>
    <row r="17325" hidden="1" x14ac:dyDescent="0.15"/>
    <row r="17326" hidden="1" x14ac:dyDescent="0.15"/>
    <row r="17327" hidden="1" x14ac:dyDescent="0.15"/>
    <row r="17328" hidden="1" x14ac:dyDescent="0.15"/>
    <row r="17329" hidden="1" x14ac:dyDescent="0.15"/>
    <row r="17330" hidden="1" x14ac:dyDescent="0.15"/>
    <row r="17331" hidden="1" x14ac:dyDescent="0.15"/>
    <row r="17332" hidden="1" x14ac:dyDescent="0.15"/>
    <row r="17333" hidden="1" x14ac:dyDescent="0.15"/>
    <row r="17334" hidden="1" x14ac:dyDescent="0.15"/>
    <row r="17335" hidden="1" x14ac:dyDescent="0.15"/>
    <row r="17336" hidden="1" x14ac:dyDescent="0.15"/>
    <row r="17337" hidden="1" x14ac:dyDescent="0.15"/>
    <row r="17338" hidden="1" x14ac:dyDescent="0.15"/>
    <row r="17339" hidden="1" x14ac:dyDescent="0.15"/>
    <row r="17340" hidden="1" x14ac:dyDescent="0.15"/>
    <row r="17341" hidden="1" x14ac:dyDescent="0.15"/>
    <row r="17342" hidden="1" x14ac:dyDescent="0.15"/>
    <row r="17343" hidden="1" x14ac:dyDescent="0.15"/>
    <row r="17344" hidden="1" x14ac:dyDescent="0.15"/>
    <row r="17345" hidden="1" x14ac:dyDescent="0.15"/>
    <row r="17346" hidden="1" x14ac:dyDescent="0.15"/>
    <row r="17347" hidden="1" x14ac:dyDescent="0.15"/>
    <row r="17348" hidden="1" x14ac:dyDescent="0.15"/>
    <row r="17349" hidden="1" x14ac:dyDescent="0.15"/>
    <row r="17350" hidden="1" x14ac:dyDescent="0.15"/>
    <row r="17351" hidden="1" x14ac:dyDescent="0.15"/>
    <row r="17352" hidden="1" x14ac:dyDescent="0.15"/>
    <row r="17353" hidden="1" x14ac:dyDescent="0.15"/>
    <row r="17354" hidden="1" x14ac:dyDescent="0.15"/>
    <row r="17355" hidden="1" x14ac:dyDescent="0.15"/>
    <row r="17356" hidden="1" x14ac:dyDescent="0.15"/>
    <row r="17357" hidden="1" x14ac:dyDescent="0.15"/>
    <row r="17358" hidden="1" x14ac:dyDescent="0.15"/>
    <row r="17359" hidden="1" x14ac:dyDescent="0.15"/>
    <row r="17360" hidden="1" x14ac:dyDescent="0.15"/>
    <row r="17361" hidden="1" x14ac:dyDescent="0.15"/>
    <row r="17362" hidden="1" x14ac:dyDescent="0.15"/>
    <row r="17363" hidden="1" x14ac:dyDescent="0.15"/>
    <row r="17364" hidden="1" x14ac:dyDescent="0.15"/>
    <row r="17365" hidden="1" x14ac:dyDescent="0.15"/>
    <row r="17366" hidden="1" x14ac:dyDescent="0.15"/>
    <row r="17367" hidden="1" x14ac:dyDescent="0.15"/>
    <row r="17368" hidden="1" x14ac:dyDescent="0.15"/>
    <row r="17369" hidden="1" x14ac:dyDescent="0.15"/>
    <row r="17370" hidden="1" x14ac:dyDescent="0.15"/>
    <row r="17371" hidden="1" x14ac:dyDescent="0.15"/>
    <row r="17372" hidden="1" x14ac:dyDescent="0.15"/>
    <row r="17373" hidden="1" x14ac:dyDescent="0.15"/>
    <row r="17374" hidden="1" x14ac:dyDescent="0.15"/>
    <row r="17375" hidden="1" x14ac:dyDescent="0.15"/>
    <row r="17376" hidden="1" x14ac:dyDescent="0.15"/>
    <row r="17377" hidden="1" x14ac:dyDescent="0.15"/>
    <row r="17378" hidden="1" x14ac:dyDescent="0.15"/>
    <row r="17379" hidden="1" x14ac:dyDescent="0.15"/>
    <row r="17380" hidden="1" x14ac:dyDescent="0.15"/>
    <row r="17381" hidden="1" x14ac:dyDescent="0.15"/>
    <row r="17382" hidden="1" x14ac:dyDescent="0.15"/>
    <row r="17383" hidden="1" x14ac:dyDescent="0.15"/>
    <row r="17384" hidden="1" x14ac:dyDescent="0.15"/>
    <row r="17385" hidden="1" x14ac:dyDescent="0.15"/>
    <row r="17386" hidden="1" x14ac:dyDescent="0.15"/>
    <row r="17387" hidden="1" x14ac:dyDescent="0.15"/>
    <row r="17388" hidden="1" x14ac:dyDescent="0.15"/>
    <row r="17389" hidden="1" x14ac:dyDescent="0.15"/>
    <row r="17390" hidden="1" x14ac:dyDescent="0.15"/>
    <row r="17391" hidden="1" x14ac:dyDescent="0.15"/>
    <row r="17392" hidden="1" x14ac:dyDescent="0.15"/>
    <row r="17393" hidden="1" x14ac:dyDescent="0.15"/>
    <row r="17394" hidden="1" x14ac:dyDescent="0.15"/>
    <row r="17395" hidden="1" x14ac:dyDescent="0.15"/>
    <row r="17396" hidden="1" x14ac:dyDescent="0.15"/>
    <row r="17397" hidden="1" x14ac:dyDescent="0.15"/>
    <row r="17398" hidden="1" x14ac:dyDescent="0.15"/>
    <row r="17399" hidden="1" x14ac:dyDescent="0.15"/>
    <row r="17400" hidden="1" x14ac:dyDescent="0.15"/>
    <row r="17401" hidden="1" x14ac:dyDescent="0.15"/>
    <row r="17402" hidden="1" x14ac:dyDescent="0.15"/>
    <row r="17403" hidden="1" x14ac:dyDescent="0.15"/>
    <row r="17404" hidden="1" x14ac:dyDescent="0.15"/>
    <row r="17405" hidden="1" x14ac:dyDescent="0.15"/>
    <row r="17406" hidden="1" x14ac:dyDescent="0.15"/>
    <row r="17407" hidden="1" x14ac:dyDescent="0.15"/>
    <row r="17408" hidden="1" x14ac:dyDescent="0.15"/>
    <row r="17409" hidden="1" x14ac:dyDescent="0.15"/>
    <row r="17410" hidden="1" x14ac:dyDescent="0.15"/>
    <row r="17411" hidden="1" x14ac:dyDescent="0.15"/>
    <row r="17412" hidden="1" x14ac:dyDescent="0.15"/>
    <row r="17413" hidden="1" x14ac:dyDescent="0.15"/>
    <row r="17414" hidden="1" x14ac:dyDescent="0.15"/>
    <row r="17415" hidden="1" x14ac:dyDescent="0.15"/>
    <row r="17416" hidden="1" x14ac:dyDescent="0.15"/>
    <row r="17417" hidden="1" x14ac:dyDescent="0.15"/>
    <row r="17418" hidden="1" x14ac:dyDescent="0.15"/>
    <row r="17419" hidden="1" x14ac:dyDescent="0.15"/>
    <row r="17420" hidden="1" x14ac:dyDescent="0.15"/>
    <row r="17421" hidden="1" x14ac:dyDescent="0.15"/>
    <row r="17422" hidden="1" x14ac:dyDescent="0.15"/>
    <row r="17423" hidden="1" x14ac:dyDescent="0.15"/>
    <row r="17424" hidden="1" x14ac:dyDescent="0.15"/>
    <row r="17425" hidden="1" x14ac:dyDescent="0.15"/>
    <row r="17426" hidden="1" x14ac:dyDescent="0.15"/>
    <row r="17427" hidden="1" x14ac:dyDescent="0.15"/>
    <row r="17428" hidden="1" x14ac:dyDescent="0.15"/>
    <row r="17429" hidden="1" x14ac:dyDescent="0.15"/>
    <row r="17430" hidden="1" x14ac:dyDescent="0.15"/>
    <row r="17431" hidden="1" x14ac:dyDescent="0.15"/>
    <row r="17432" hidden="1" x14ac:dyDescent="0.15"/>
    <row r="17433" hidden="1" x14ac:dyDescent="0.15"/>
    <row r="17434" hidden="1" x14ac:dyDescent="0.15"/>
    <row r="17435" hidden="1" x14ac:dyDescent="0.15"/>
    <row r="17436" hidden="1" x14ac:dyDescent="0.15"/>
    <row r="17437" hidden="1" x14ac:dyDescent="0.15"/>
    <row r="17438" hidden="1" x14ac:dyDescent="0.15"/>
    <row r="17439" hidden="1" x14ac:dyDescent="0.15"/>
    <row r="17440" hidden="1" x14ac:dyDescent="0.15"/>
    <row r="17441" hidden="1" x14ac:dyDescent="0.15"/>
    <row r="17442" hidden="1" x14ac:dyDescent="0.15"/>
    <row r="17443" hidden="1" x14ac:dyDescent="0.15"/>
    <row r="17444" hidden="1" x14ac:dyDescent="0.15"/>
    <row r="17445" hidden="1" x14ac:dyDescent="0.15"/>
    <row r="17446" hidden="1" x14ac:dyDescent="0.15"/>
    <row r="17447" hidden="1" x14ac:dyDescent="0.15"/>
    <row r="17448" hidden="1" x14ac:dyDescent="0.15"/>
    <row r="17449" hidden="1" x14ac:dyDescent="0.15"/>
    <row r="17450" hidden="1" x14ac:dyDescent="0.15"/>
    <row r="17451" hidden="1" x14ac:dyDescent="0.15"/>
    <row r="17452" hidden="1" x14ac:dyDescent="0.15"/>
    <row r="17453" hidden="1" x14ac:dyDescent="0.15"/>
    <row r="17454" hidden="1" x14ac:dyDescent="0.15"/>
    <row r="17455" hidden="1" x14ac:dyDescent="0.15"/>
    <row r="17456" hidden="1" x14ac:dyDescent="0.15"/>
    <row r="17457" hidden="1" x14ac:dyDescent="0.15"/>
    <row r="17458" hidden="1" x14ac:dyDescent="0.15"/>
    <row r="17459" hidden="1" x14ac:dyDescent="0.15"/>
    <row r="17460" hidden="1" x14ac:dyDescent="0.15"/>
    <row r="17461" hidden="1" x14ac:dyDescent="0.15"/>
    <row r="17462" hidden="1" x14ac:dyDescent="0.15"/>
    <row r="17463" hidden="1" x14ac:dyDescent="0.15"/>
    <row r="17464" hidden="1" x14ac:dyDescent="0.15"/>
    <row r="17465" hidden="1" x14ac:dyDescent="0.15"/>
    <row r="17466" hidden="1" x14ac:dyDescent="0.15"/>
    <row r="17467" hidden="1" x14ac:dyDescent="0.15"/>
    <row r="17468" hidden="1" x14ac:dyDescent="0.15"/>
    <row r="17469" hidden="1" x14ac:dyDescent="0.15"/>
    <row r="17470" hidden="1" x14ac:dyDescent="0.15"/>
    <row r="17471" hidden="1" x14ac:dyDescent="0.15"/>
    <row r="17472" hidden="1" x14ac:dyDescent="0.15"/>
    <row r="17473" hidden="1" x14ac:dyDescent="0.15"/>
    <row r="17474" hidden="1" x14ac:dyDescent="0.15"/>
    <row r="17475" hidden="1" x14ac:dyDescent="0.15"/>
    <row r="17476" hidden="1" x14ac:dyDescent="0.15"/>
    <row r="17477" hidden="1" x14ac:dyDescent="0.15"/>
    <row r="17478" hidden="1" x14ac:dyDescent="0.15"/>
    <row r="17479" hidden="1" x14ac:dyDescent="0.15"/>
    <row r="17480" hidden="1" x14ac:dyDescent="0.15"/>
    <row r="17481" hidden="1" x14ac:dyDescent="0.15"/>
    <row r="17482" hidden="1" x14ac:dyDescent="0.15"/>
    <row r="17483" hidden="1" x14ac:dyDescent="0.15"/>
    <row r="17484" hidden="1" x14ac:dyDescent="0.15"/>
    <row r="17485" hidden="1" x14ac:dyDescent="0.15"/>
    <row r="17486" hidden="1" x14ac:dyDescent="0.15"/>
    <row r="17487" hidden="1" x14ac:dyDescent="0.15"/>
    <row r="17488" hidden="1" x14ac:dyDescent="0.15"/>
    <row r="17489" hidden="1" x14ac:dyDescent="0.15"/>
    <row r="17490" hidden="1" x14ac:dyDescent="0.15"/>
    <row r="17491" hidden="1" x14ac:dyDescent="0.15"/>
    <row r="17492" hidden="1" x14ac:dyDescent="0.15"/>
    <row r="17493" hidden="1" x14ac:dyDescent="0.15"/>
    <row r="17494" hidden="1" x14ac:dyDescent="0.15"/>
    <row r="17495" hidden="1" x14ac:dyDescent="0.15"/>
    <row r="17496" hidden="1" x14ac:dyDescent="0.15"/>
    <row r="17497" hidden="1" x14ac:dyDescent="0.15"/>
    <row r="17498" hidden="1" x14ac:dyDescent="0.15"/>
    <row r="17499" hidden="1" x14ac:dyDescent="0.15"/>
    <row r="17500" hidden="1" x14ac:dyDescent="0.15"/>
    <row r="17501" hidden="1" x14ac:dyDescent="0.15"/>
    <row r="17502" hidden="1" x14ac:dyDescent="0.15"/>
    <row r="17503" hidden="1" x14ac:dyDescent="0.15"/>
    <row r="17504" hidden="1" x14ac:dyDescent="0.15"/>
    <row r="17505" hidden="1" x14ac:dyDescent="0.15"/>
    <row r="17506" hidden="1" x14ac:dyDescent="0.15"/>
    <row r="17507" hidden="1" x14ac:dyDescent="0.15"/>
    <row r="17508" hidden="1" x14ac:dyDescent="0.15"/>
    <row r="17509" hidden="1" x14ac:dyDescent="0.15"/>
    <row r="17510" hidden="1" x14ac:dyDescent="0.15"/>
    <row r="17511" hidden="1" x14ac:dyDescent="0.15"/>
    <row r="17512" hidden="1" x14ac:dyDescent="0.15"/>
    <row r="17513" hidden="1" x14ac:dyDescent="0.15"/>
    <row r="17514" hidden="1" x14ac:dyDescent="0.15"/>
    <row r="17515" hidden="1" x14ac:dyDescent="0.15"/>
    <row r="17516" hidden="1" x14ac:dyDescent="0.15"/>
    <row r="17517" hidden="1" x14ac:dyDescent="0.15"/>
    <row r="17518" hidden="1" x14ac:dyDescent="0.15"/>
    <row r="17519" hidden="1" x14ac:dyDescent="0.15"/>
    <row r="17520" hidden="1" x14ac:dyDescent="0.15"/>
    <row r="17521" hidden="1" x14ac:dyDescent="0.15"/>
    <row r="17522" hidden="1" x14ac:dyDescent="0.15"/>
    <row r="17523" hidden="1" x14ac:dyDescent="0.15"/>
    <row r="17524" hidden="1" x14ac:dyDescent="0.15"/>
    <row r="17525" hidden="1" x14ac:dyDescent="0.15"/>
    <row r="17526" hidden="1" x14ac:dyDescent="0.15"/>
    <row r="17527" hidden="1" x14ac:dyDescent="0.15"/>
    <row r="17528" hidden="1" x14ac:dyDescent="0.15"/>
    <row r="17529" hidden="1" x14ac:dyDescent="0.15"/>
    <row r="17530" hidden="1" x14ac:dyDescent="0.15"/>
    <row r="17531" hidden="1" x14ac:dyDescent="0.15"/>
    <row r="17532" hidden="1" x14ac:dyDescent="0.15"/>
    <row r="17533" hidden="1" x14ac:dyDescent="0.15"/>
    <row r="17534" hidden="1" x14ac:dyDescent="0.15"/>
    <row r="17535" hidden="1" x14ac:dyDescent="0.15"/>
    <row r="17536" hidden="1" x14ac:dyDescent="0.15"/>
    <row r="17537" hidden="1" x14ac:dyDescent="0.15"/>
    <row r="17538" hidden="1" x14ac:dyDescent="0.15"/>
    <row r="17539" hidden="1" x14ac:dyDescent="0.15"/>
    <row r="17540" hidden="1" x14ac:dyDescent="0.15"/>
    <row r="17541" hidden="1" x14ac:dyDescent="0.15"/>
    <row r="17542" hidden="1" x14ac:dyDescent="0.15"/>
    <row r="17543" hidden="1" x14ac:dyDescent="0.15"/>
    <row r="17544" hidden="1" x14ac:dyDescent="0.15"/>
    <row r="17545" hidden="1" x14ac:dyDescent="0.15"/>
    <row r="17546" hidden="1" x14ac:dyDescent="0.15"/>
    <row r="17547" hidden="1" x14ac:dyDescent="0.15"/>
    <row r="17548" hidden="1" x14ac:dyDescent="0.15"/>
    <row r="17549" hidden="1" x14ac:dyDescent="0.15"/>
    <row r="17550" hidden="1" x14ac:dyDescent="0.15"/>
    <row r="17551" hidden="1" x14ac:dyDescent="0.15"/>
    <row r="17552" hidden="1" x14ac:dyDescent="0.15"/>
    <row r="17553" hidden="1" x14ac:dyDescent="0.15"/>
    <row r="17554" hidden="1" x14ac:dyDescent="0.15"/>
    <row r="17555" hidden="1" x14ac:dyDescent="0.15"/>
    <row r="17556" hidden="1" x14ac:dyDescent="0.15"/>
    <row r="17557" hidden="1" x14ac:dyDescent="0.15"/>
    <row r="17558" hidden="1" x14ac:dyDescent="0.15"/>
    <row r="17559" hidden="1" x14ac:dyDescent="0.15"/>
    <row r="17560" hidden="1" x14ac:dyDescent="0.15"/>
    <row r="17561" hidden="1" x14ac:dyDescent="0.15"/>
    <row r="17562" hidden="1" x14ac:dyDescent="0.15"/>
    <row r="17563" hidden="1" x14ac:dyDescent="0.15"/>
    <row r="17564" hidden="1" x14ac:dyDescent="0.15"/>
    <row r="17565" hidden="1" x14ac:dyDescent="0.15"/>
    <row r="17566" hidden="1" x14ac:dyDescent="0.15"/>
    <row r="17567" hidden="1" x14ac:dyDescent="0.15"/>
    <row r="17568" hidden="1" x14ac:dyDescent="0.15"/>
    <row r="17569" hidden="1" x14ac:dyDescent="0.15"/>
    <row r="17570" hidden="1" x14ac:dyDescent="0.15"/>
    <row r="17571" hidden="1" x14ac:dyDescent="0.15"/>
    <row r="17572" hidden="1" x14ac:dyDescent="0.15"/>
    <row r="17573" hidden="1" x14ac:dyDescent="0.15"/>
    <row r="17574" hidden="1" x14ac:dyDescent="0.15"/>
    <row r="17575" hidden="1" x14ac:dyDescent="0.15"/>
    <row r="17576" hidden="1" x14ac:dyDescent="0.15"/>
    <row r="17577" hidden="1" x14ac:dyDescent="0.15"/>
    <row r="17578" hidden="1" x14ac:dyDescent="0.15"/>
    <row r="17579" hidden="1" x14ac:dyDescent="0.15"/>
    <row r="17580" hidden="1" x14ac:dyDescent="0.15"/>
    <row r="17581" hidden="1" x14ac:dyDescent="0.15"/>
    <row r="17582" hidden="1" x14ac:dyDescent="0.15"/>
    <row r="17583" hidden="1" x14ac:dyDescent="0.15"/>
    <row r="17584" hidden="1" x14ac:dyDescent="0.15"/>
    <row r="17585" hidden="1" x14ac:dyDescent="0.15"/>
    <row r="17586" hidden="1" x14ac:dyDescent="0.15"/>
    <row r="17587" hidden="1" x14ac:dyDescent="0.15"/>
    <row r="17588" hidden="1" x14ac:dyDescent="0.15"/>
    <row r="17589" hidden="1" x14ac:dyDescent="0.15"/>
    <row r="17590" hidden="1" x14ac:dyDescent="0.15"/>
    <row r="17591" hidden="1" x14ac:dyDescent="0.15"/>
    <row r="17592" hidden="1" x14ac:dyDescent="0.15"/>
    <row r="17593" hidden="1" x14ac:dyDescent="0.15"/>
    <row r="17594" hidden="1" x14ac:dyDescent="0.15"/>
    <row r="17595" hidden="1" x14ac:dyDescent="0.15"/>
    <row r="17596" hidden="1" x14ac:dyDescent="0.15"/>
    <row r="17597" hidden="1" x14ac:dyDescent="0.15"/>
    <row r="17598" hidden="1" x14ac:dyDescent="0.15"/>
    <row r="17599" hidden="1" x14ac:dyDescent="0.15"/>
    <row r="17600" hidden="1" x14ac:dyDescent="0.15"/>
    <row r="17601" hidden="1" x14ac:dyDescent="0.15"/>
    <row r="17602" hidden="1" x14ac:dyDescent="0.15"/>
    <row r="17603" hidden="1" x14ac:dyDescent="0.15"/>
    <row r="17604" hidden="1" x14ac:dyDescent="0.15"/>
    <row r="17605" hidden="1" x14ac:dyDescent="0.15"/>
    <row r="17606" hidden="1" x14ac:dyDescent="0.15"/>
    <row r="17607" hidden="1" x14ac:dyDescent="0.15"/>
    <row r="17608" hidden="1" x14ac:dyDescent="0.15"/>
    <row r="17609" hidden="1" x14ac:dyDescent="0.15"/>
    <row r="17610" hidden="1" x14ac:dyDescent="0.15"/>
    <row r="17611" hidden="1" x14ac:dyDescent="0.15"/>
    <row r="17612" hidden="1" x14ac:dyDescent="0.15"/>
    <row r="17613" hidden="1" x14ac:dyDescent="0.15"/>
    <row r="17614" hidden="1" x14ac:dyDescent="0.15"/>
    <row r="17615" hidden="1" x14ac:dyDescent="0.15"/>
    <row r="17616" hidden="1" x14ac:dyDescent="0.15"/>
    <row r="17617" hidden="1" x14ac:dyDescent="0.15"/>
    <row r="17618" hidden="1" x14ac:dyDescent="0.15"/>
    <row r="17619" hidden="1" x14ac:dyDescent="0.15"/>
    <row r="17620" hidden="1" x14ac:dyDescent="0.15"/>
    <row r="17621" hidden="1" x14ac:dyDescent="0.15"/>
    <row r="17622" hidden="1" x14ac:dyDescent="0.15"/>
    <row r="17623" hidden="1" x14ac:dyDescent="0.15"/>
    <row r="17624" hidden="1" x14ac:dyDescent="0.15"/>
    <row r="17625" hidden="1" x14ac:dyDescent="0.15"/>
    <row r="17626" hidden="1" x14ac:dyDescent="0.15"/>
    <row r="17627" hidden="1" x14ac:dyDescent="0.15"/>
    <row r="17628" hidden="1" x14ac:dyDescent="0.15"/>
    <row r="17629" hidden="1" x14ac:dyDescent="0.15"/>
    <row r="17630" hidden="1" x14ac:dyDescent="0.15"/>
    <row r="17631" hidden="1" x14ac:dyDescent="0.15"/>
    <row r="17632" hidden="1" x14ac:dyDescent="0.15"/>
    <row r="17633" hidden="1" x14ac:dyDescent="0.15"/>
    <row r="17634" hidden="1" x14ac:dyDescent="0.15"/>
    <row r="17635" hidden="1" x14ac:dyDescent="0.15"/>
    <row r="17636" hidden="1" x14ac:dyDescent="0.15"/>
    <row r="17637" hidden="1" x14ac:dyDescent="0.15"/>
    <row r="17638" hidden="1" x14ac:dyDescent="0.15"/>
    <row r="17639" hidden="1" x14ac:dyDescent="0.15"/>
    <row r="17640" hidden="1" x14ac:dyDescent="0.15"/>
    <row r="17641" hidden="1" x14ac:dyDescent="0.15"/>
    <row r="17642" hidden="1" x14ac:dyDescent="0.15"/>
    <row r="17643" hidden="1" x14ac:dyDescent="0.15"/>
    <row r="17644" hidden="1" x14ac:dyDescent="0.15"/>
    <row r="17645" hidden="1" x14ac:dyDescent="0.15"/>
    <row r="17646" hidden="1" x14ac:dyDescent="0.15"/>
    <row r="17647" hidden="1" x14ac:dyDescent="0.15"/>
    <row r="17648" hidden="1" x14ac:dyDescent="0.15"/>
    <row r="17649" hidden="1" x14ac:dyDescent="0.15"/>
    <row r="17650" hidden="1" x14ac:dyDescent="0.15"/>
    <row r="17651" hidden="1" x14ac:dyDescent="0.15"/>
    <row r="17652" hidden="1" x14ac:dyDescent="0.15"/>
    <row r="17653" hidden="1" x14ac:dyDescent="0.15"/>
    <row r="17654" hidden="1" x14ac:dyDescent="0.15"/>
    <row r="17655" hidden="1" x14ac:dyDescent="0.15"/>
    <row r="17656" hidden="1" x14ac:dyDescent="0.15"/>
    <row r="17657" hidden="1" x14ac:dyDescent="0.15"/>
    <row r="17658" hidden="1" x14ac:dyDescent="0.15"/>
    <row r="17659" hidden="1" x14ac:dyDescent="0.15"/>
    <row r="17660" hidden="1" x14ac:dyDescent="0.15"/>
    <row r="17661" hidden="1" x14ac:dyDescent="0.15"/>
    <row r="17662" hidden="1" x14ac:dyDescent="0.15"/>
    <row r="17663" hidden="1" x14ac:dyDescent="0.15"/>
    <row r="17664" hidden="1" x14ac:dyDescent="0.15"/>
    <row r="17665" hidden="1" x14ac:dyDescent="0.15"/>
    <row r="17666" hidden="1" x14ac:dyDescent="0.15"/>
    <row r="17667" hidden="1" x14ac:dyDescent="0.15"/>
    <row r="17668" hidden="1" x14ac:dyDescent="0.15"/>
    <row r="17669" hidden="1" x14ac:dyDescent="0.15"/>
    <row r="17670" hidden="1" x14ac:dyDescent="0.15"/>
    <row r="17671" hidden="1" x14ac:dyDescent="0.15"/>
    <row r="17672" hidden="1" x14ac:dyDescent="0.15"/>
    <row r="17673" hidden="1" x14ac:dyDescent="0.15"/>
    <row r="17674" hidden="1" x14ac:dyDescent="0.15"/>
    <row r="17675" hidden="1" x14ac:dyDescent="0.15"/>
    <row r="17676" hidden="1" x14ac:dyDescent="0.15"/>
    <row r="17677" hidden="1" x14ac:dyDescent="0.15"/>
    <row r="17678" hidden="1" x14ac:dyDescent="0.15"/>
    <row r="17679" hidden="1" x14ac:dyDescent="0.15"/>
    <row r="17680" hidden="1" x14ac:dyDescent="0.15"/>
    <row r="17681" hidden="1" x14ac:dyDescent="0.15"/>
    <row r="17682" hidden="1" x14ac:dyDescent="0.15"/>
    <row r="17683" hidden="1" x14ac:dyDescent="0.15"/>
    <row r="17684" hidden="1" x14ac:dyDescent="0.15"/>
    <row r="17685" hidden="1" x14ac:dyDescent="0.15"/>
    <row r="17686" hidden="1" x14ac:dyDescent="0.15"/>
    <row r="17687" hidden="1" x14ac:dyDescent="0.15"/>
    <row r="17688" hidden="1" x14ac:dyDescent="0.15"/>
    <row r="17689" hidden="1" x14ac:dyDescent="0.15"/>
    <row r="17690" hidden="1" x14ac:dyDescent="0.15"/>
    <row r="17691" hidden="1" x14ac:dyDescent="0.15"/>
    <row r="17692" hidden="1" x14ac:dyDescent="0.15"/>
    <row r="17693" hidden="1" x14ac:dyDescent="0.15"/>
    <row r="17694" hidden="1" x14ac:dyDescent="0.15"/>
    <row r="17695" hidden="1" x14ac:dyDescent="0.15"/>
    <row r="17696" hidden="1" x14ac:dyDescent="0.15"/>
    <row r="17697" hidden="1" x14ac:dyDescent="0.15"/>
    <row r="17698" hidden="1" x14ac:dyDescent="0.15"/>
    <row r="17699" hidden="1" x14ac:dyDescent="0.15"/>
    <row r="17700" hidden="1" x14ac:dyDescent="0.15"/>
    <row r="17701" hidden="1" x14ac:dyDescent="0.15"/>
    <row r="17702" hidden="1" x14ac:dyDescent="0.15"/>
    <row r="17703" hidden="1" x14ac:dyDescent="0.15"/>
    <row r="17704" hidden="1" x14ac:dyDescent="0.15"/>
    <row r="17705" hidden="1" x14ac:dyDescent="0.15"/>
    <row r="17706" hidden="1" x14ac:dyDescent="0.15"/>
    <row r="17707" hidden="1" x14ac:dyDescent="0.15"/>
    <row r="17708" hidden="1" x14ac:dyDescent="0.15"/>
    <row r="17709" hidden="1" x14ac:dyDescent="0.15"/>
    <row r="17710" hidden="1" x14ac:dyDescent="0.15"/>
    <row r="17711" hidden="1" x14ac:dyDescent="0.15"/>
    <row r="17712" hidden="1" x14ac:dyDescent="0.15"/>
    <row r="17713" hidden="1" x14ac:dyDescent="0.15"/>
    <row r="17714" hidden="1" x14ac:dyDescent="0.15"/>
    <row r="17715" hidden="1" x14ac:dyDescent="0.15"/>
    <row r="17716" hidden="1" x14ac:dyDescent="0.15"/>
    <row r="17717" hidden="1" x14ac:dyDescent="0.15"/>
    <row r="17718" hidden="1" x14ac:dyDescent="0.15"/>
    <row r="17719" hidden="1" x14ac:dyDescent="0.15"/>
    <row r="17720" hidden="1" x14ac:dyDescent="0.15"/>
    <row r="17721" hidden="1" x14ac:dyDescent="0.15"/>
    <row r="17722" hidden="1" x14ac:dyDescent="0.15"/>
    <row r="17723" hidden="1" x14ac:dyDescent="0.15"/>
    <row r="17724" hidden="1" x14ac:dyDescent="0.15"/>
    <row r="17725" hidden="1" x14ac:dyDescent="0.15"/>
    <row r="17726" hidden="1" x14ac:dyDescent="0.15"/>
    <row r="17727" hidden="1" x14ac:dyDescent="0.15"/>
    <row r="17728" hidden="1" x14ac:dyDescent="0.15"/>
    <row r="17729" hidden="1" x14ac:dyDescent="0.15"/>
    <row r="17730" hidden="1" x14ac:dyDescent="0.15"/>
    <row r="17731" hidden="1" x14ac:dyDescent="0.15"/>
    <row r="17732" hidden="1" x14ac:dyDescent="0.15"/>
    <row r="17733" hidden="1" x14ac:dyDescent="0.15"/>
    <row r="17734" hidden="1" x14ac:dyDescent="0.15"/>
    <row r="17735" hidden="1" x14ac:dyDescent="0.15"/>
    <row r="17736" hidden="1" x14ac:dyDescent="0.15"/>
    <row r="17737" hidden="1" x14ac:dyDescent="0.15"/>
    <row r="17738" hidden="1" x14ac:dyDescent="0.15"/>
    <row r="17739" hidden="1" x14ac:dyDescent="0.15"/>
    <row r="17740" hidden="1" x14ac:dyDescent="0.15"/>
    <row r="17741" hidden="1" x14ac:dyDescent="0.15"/>
    <row r="17742" hidden="1" x14ac:dyDescent="0.15"/>
    <row r="17743" hidden="1" x14ac:dyDescent="0.15"/>
    <row r="17744" hidden="1" x14ac:dyDescent="0.15"/>
    <row r="17745" hidden="1" x14ac:dyDescent="0.15"/>
    <row r="17746" hidden="1" x14ac:dyDescent="0.15"/>
    <row r="17747" hidden="1" x14ac:dyDescent="0.15"/>
    <row r="17748" hidden="1" x14ac:dyDescent="0.15"/>
    <row r="17749" hidden="1" x14ac:dyDescent="0.15"/>
    <row r="17750" hidden="1" x14ac:dyDescent="0.15"/>
    <row r="17751" hidden="1" x14ac:dyDescent="0.15"/>
    <row r="17752" hidden="1" x14ac:dyDescent="0.15"/>
    <row r="17753" hidden="1" x14ac:dyDescent="0.15"/>
    <row r="17754" hidden="1" x14ac:dyDescent="0.15"/>
    <row r="17755" hidden="1" x14ac:dyDescent="0.15"/>
    <row r="17756" hidden="1" x14ac:dyDescent="0.15"/>
    <row r="17757" hidden="1" x14ac:dyDescent="0.15"/>
    <row r="17758" hidden="1" x14ac:dyDescent="0.15"/>
    <row r="17759" hidden="1" x14ac:dyDescent="0.15"/>
    <row r="17760" hidden="1" x14ac:dyDescent="0.15"/>
    <row r="17761" hidden="1" x14ac:dyDescent="0.15"/>
    <row r="17762" hidden="1" x14ac:dyDescent="0.15"/>
    <row r="17763" hidden="1" x14ac:dyDescent="0.15"/>
    <row r="17764" hidden="1" x14ac:dyDescent="0.15"/>
    <row r="17765" hidden="1" x14ac:dyDescent="0.15"/>
    <row r="17766" hidden="1" x14ac:dyDescent="0.15"/>
    <row r="17767" hidden="1" x14ac:dyDescent="0.15"/>
    <row r="17768" hidden="1" x14ac:dyDescent="0.15"/>
    <row r="17769" hidden="1" x14ac:dyDescent="0.15"/>
    <row r="17770" hidden="1" x14ac:dyDescent="0.15"/>
    <row r="17771" hidden="1" x14ac:dyDescent="0.15"/>
    <row r="17772" hidden="1" x14ac:dyDescent="0.15"/>
    <row r="17773" hidden="1" x14ac:dyDescent="0.15"/>
    <row r="17774" hidden="1" x14ac:dyDescent="0.15"/>
    <row r="17775" hidden="1" x14ac:dyDescent="0.15"/>
    <row r="17776" hidden="1" x14ac:dyDescent="0.15"/>
    <row r="17777" hidden="1" x14ac:dyDescent="0.15"/>
    <row r="17778" hidden="1" x14ac:dyDescent="0.15"/>
    <row r="17779" hidden="1" x14ac:dyDescent="0.15"/>
    <row r="17780" hidden="1" x14ac:dyDescent="0.15"/>
    <row r="17781" hidden="1" x14ac:dyDescent="0.15"/>
    <row r="17782" hidden="1" x14ac:dyDescent="0.15"/>
    <row r="17783" hidden="1" x14ac:dyDescent="0.15"/>
    <row r="17784" hidden="1" x14ac:dyDescent="0.15"/>
    <row r="17785" hidden="1" x14ac:dyDescent="0.15"/>
    <row r="17786" hidden="1" x14ac:dyDescent="0.15"/>
    <row r="17787" hidden="1" x14ac:dyDescent="0.15"/>
    <row r="17788" hidden="1" x14ac:dyDescent="0.15"/>
    <row r="17789" hidden="1" x14ac:dyDescent="0.15"/>
    <row r="17790" hidden="1" x14ac:dyDescent="0.15"/>
    <row r="17791" hidden="1" x14ac:dyDescent="0.15"/>
    <row r="17792" hidden="1" x14ac:dyDescent="0.15"/>
    <row r="17793" hidden="1" x14ac:dyDescent="0.15"/>
    <row r="17794" hidden="1" x14ac:dyDescent="0.15"/>
    <row r="17795" hidden="1" x14ac:dyDescent="0.15"/>
    <row r="17796" hidden="1" x14ac:dyDescent="0.15"/>
    <row r="17797" hidden="1" x14ac:dyDescent="0.15"/>
    <row r="17798" hidden="1" x14ac:dyDescent="0.15"/>
    <row r="17799" hidden="1" x14ac:dyDescent="0.15"/>
    <row r="17800" hidden="1" x14ac:dyDescent="0.15"/>
    <row r="17801" hidden="1" x14ac:dyDescent="0.15"/>
    <row r="17802" hidden="1" x14ac:dyDescent="0.15"/>
    <row r="17803" hidden="1" x14ac:dyDescent="0.15"/>
    <row r="17804" hidden="1" x14ac:dyDescent="0.15"/>
    <row r="17805" hidden="1" x14ac:dyDescent="0.15"/>
    <row r="17806" hidden="1" x14ac:dyDescent="0.15"/>
    <row r="17807" hidden="1" x14ac:dyDescent="0.15"/>
    <row r="17808" hidden="1" x14ac:dyDescent="0.15"/>
    <row r="17809" hidden="1" x14ac:dyDescent="0.15"/>
    <row r="17810" hidden="1" x14ac:dyDescent="0.15"/>
    <row r="17811" hidden="1" x14ac:dyDescent="0.15"/>
    <row r="17812" hidden="1" x14ac:dyDescent="0.15"/>
    <row r="17813" hidden="1" x14ac:dyDescent="0.15"/>
    <row r="17814" hidden="1" x14ac:dyDescent="0.15"/>
    <row r="17815" hidden="1" x14ac:dyDescent="0.15"/>
    <row r="17816" hidden="1" x14ac:dyDescent="0.15"/>
    <row r="17817" hidden="1" x14ac:dyDescent="0.15"/>
    <row r="17818" hidden="1" x14ac:dyDescent="0.15"/>
    <row r="17819" hidden="1" x14ac:dyDescent="0.15"/>
    <row r="17820" hidden="1" x14ac:dyDescent="0.15"/>
    <row r="17821" hidden="1" x14ac:dyDescent="0.15"/>
    <row r="17822" hidden="1" x14ac:dyDescent="0.15"/>
    <row r="17823" hidden="1" x14ac:dyDescent="0.15"/>
    <row r="17824" hidden="1" x14ac:dyDescent="0.15"/>
    <row r="17825" hidden="1" x14ac:dyDescent="0.15"/>
    <row r="17826" hidden="1" x14ac:dyDescent="0.15"/>
    <row r="17827" hidden="1" x14ac:dyDescent="0.15"/>
    <row r="17828" hidden="1" x14ac:dyDescent="0.15"/>
    <row r="17829" hidden="1" x14ac:dyDescent="0.15"/>
    <row r="17830" hidden="1" x14ac:dyDescent="0.15"/>
    <row r="17831" hidden="1" x14ac:dyDescent="0.15"/>
    <row r="17832" hidden="1" x14ac:dyDescent="0.15"/>
    <row r="17833" hidden="1" x14ac:dyDescent="0.15"/>
    <row r="17834" hidden="1" x14ac:dyDescent="0.15"/>
    <row r="17835" hidden="1" x14ac:dyDescent="0.15"/>
    <row r="17836" hidden="1" x14ac:dyDescent="0.15"/>
    <row r="17837" hidden="1" x14ac:dyDescent="0.15"/>
    <row r="17838" hidden="1" x14ac:dyDescent="0.15"/>
    <row r="17839" hidden="1" x14ac:dyDescent="0.15"/>
    <row r="17840" hidden="1" x14ac:dyDescent="0.15"/>
    <row r="17841" hidden="1" x14ac:dyDescent="0.15"/>
    <row r="17842" hidden="1" x14ac:dyDescent="0.15"/>
    <row r="17843" hidden="1" x14ac:dyDescent="0.15"/>
    <row r="17844" hidden="1" x14ac:dyDescent="0.15"/>
    <row r="17845" hidden="1" x14ac:dyDescent="0.15"/>
    <row r="17846" hidden="1" x14ac:dyDescent="0.15"/>
    <row r="17847" hidden="1" x14ac:dyDescent="0.15"/>
    <row r="17848" hidden="1" x14ac:dyDescent="0.15"/>
    <row r="17849" hidden="1" x14ac:dyDescent="0.15"/>
    <row r="17850" hidden="1" x14ac:dyDescent="0.15"/>
    <row r="17851" hidden="1" x14ac:dyDescent="0.15"/>
    <row r="17852" hidden="1" x14ac:dyDescent="0.15"/>
    <row r="17853" hidden="1" x14ac:dyDescent="0.15"/>
    <row r="17854" hidden="1" x14ac:dyDescent="0.15"/>
    <row r="17855" hidden="1" x14ac:dyDescent="0.15"/>
    <row r="17856" hidden="1" x14ac:dyDescent="0.15"/>
    <row r="17857" hidden="1" x14ac:dyDescent="0.15"/>
    <row r="17858" hidden="1" x14ac:dyDescent="0.15"/>
    <row r="17859" hidden="1" x14ac:dyDescent="0.15"/>
    <row r="17860" hidden="1" x14ac:dyDescent="0.15"/>
    <row r="17861" hidden="1" x14ac:dyDescent="0.15"/>
    <row r="17862" hidden="1" x14ac:dyDescent="0.15"/>
    <row r="17863" hidden="1" x14ac:dyDescent="0.15"/>
    <row r="17864" hidden="1" x14ac:dyDescent="0.15"/>
    <row r="17865" hidden="1" x14ac:dyDescent="0.15"/>
    <row r="17866" hidden="1" x14ac:dyDescent="0.15"/>
    <row r="17867" hidden="1" x14ac:dyDescent="0.15"/>
    <row r="17868" hidden="1" x14ac:dyDescent="0.15"/>
    <row r="17869" hidden="1" x14ac:dyDescent="0.15"/>
    <row r="17870" hidden="1" x14ac:dyDescent="0.15"/>
    <row r="17871" hidden="1" x14ac:dyDescent="0.15"/>
    <row r="17872" hidden="1" x14ac:dyDescent="0.15"/>
    <row r="17873" hidden="1" x14ac:dyDescent="0.15"/>
    <row r="17874" hidden="1" x14ac:dyDescent="0.15"/>
    <row r="17875" hidden="1" x14ac:dyDescent="0.15"/>
    <row r="17876" hidden="1" x14ac:dyDescent="0.15"/>
    <row r="17877" hidden="1" x14ac:dyDescent="0.15"/>
    <row r="17878" hidden="1" x14ac:dyDescent="0.15"/>
    <row r="17879" hidden="1" x14ac:dyDescent="0.15"/>
    <row r="17880" hidden="1" x14ac:dyDescent="0.15"/>
    <row r="17881" hidden="1" x14ac:dyDescent="0.15"/>
    <row r="17882" hidden="1" x14ac:dyDescent="0.15"/>
    <row r="17883" hidden="1" x14ac:dyDescent="0.15"/>
    <row r="17884" hidden="1" x14ac:dyDescent="0.15"/>
    <row r="17885" hidden="1" x14ac:dyDescent="0.15"/>
    <row r="17886" hidden="1" x14ac:dyDescent="0.15"/>
    <row r="17887" hidden="1" x14ac:dyDescent="0.15"/>
    <row r="17888" hidden="1" x14ac:dyDescent="0.15"/>
    <row r="17889" hidden="1" x14ac:dyDescent="0.15"/>
    <row r="17890" hidden="1" x14ac:dyDescent="0.15"/>
    <row r="17891" hidden="1" x14ac:dyDescent="0.15"/>
    <row r="17892" hidden="1" x14ac:dyDescent="0.15"/>
    <row r="17893" hidden="1" x14ac:dyDescent="0.15"/>
    <row r="17894" hidden="1" x14ac:dyDescent="0.15"/>
    <row r="17895" hidden="1" x14ac:dyDescent="0.15"/>
    <row r="17896" hidden="1" x14ac:dyDescent="0.15"/>
    <row r="17897" hidden="1" x14ac:dyDescent="0.15"/>
    <row r="17898" hidden="1" x14ac:dyDescent="0.15"/>
    <row r="17899" hidden="1" x14ac:dyDescent="0.15"/>
    <row r="17900" hidden="1" x14ac:dyDescent="0.15"/>
    <row r="17901" hidden="1" x14ac:dyDescent="0.15"/>
    <row r="17902" hidden="1" x14ac:dyDescent="0.15"/>
    <row r="17903" hidden="1" x14ac:dyDescent="0.15"/>
    <row r="17904" hidden="1" x14ac:dyDescent="0.15"/>
    <row r="17905" hidden="1" x14ac:dyDescent="0.15"/>
    <row r="17906" hidden="1" x14ac:dyDescent="0.15"/>
    <row r="17907" hidden="1" x14ac:dyDescent="0.15"/>
    <row r="17908" hidden="1" x14ac:dyDescent="0.15"/>
    <row r="17909" hidden="1" x14ac:dyDescent="0.15"/>
    <row r="17910" hidden="1" x14ac:dyDescent="0.15"/>
    <row r="17911" hidden="1" x14ac:dyDescent="0.15"/>
    <row r="17912" hidden="1" x14ac:dyDescent="0.15"/>
    <row r="17913" hidden="1" x14ac:dyDescent="0.15"/>
    <row r="17914" hidden="1" x14ac:dyDescent="0.15"/>
    <row r="17915" hidden="1" x14ac:dyDescent="0.15"/>
    <row r="17916" hidden="1" x14ac:dyDescent="0.15"/>
    <row r="17917" hidden="1" x14ac:dyDescent="0.15"/>
    <row r="17918" hidden="1" x14ac:dyDescent="0.15"/>
    <row r="17919" hidden="1" x14ac:dyDescent="0.15"/>
    <row r="17920" hidden="1" x14ac:dyDescent="0.15"/>
    <row r="17921" hidden="1" x14ac:dyDescent="0.15"/>
    <row r="17922" hidden="1" x14ac:dyDescent="0.15"/>
    <row r="17923" hidden="1" x14ac:dyDescent="0.15"/>
    <row r="17924" hidden="1" x14ac:dyDescent="0.15"/>
    <row r="17925" hidden="1" x14ac:dyDescent="0.15"/>
    <row r="17926" hidden="1" x14ac:dyDescent="0.15"/>
    <row r="17927" hidden="1" x14ac:dyDescent="0.15"/>
    <row r="17928" hidden="1" x14ac:dyDescent="0.15"/>
    <row r="17929" hidden="1" x14ac:dyDescent="0.15"/>
    <row r="17930" hidden="1" x14ac:dyDescent="0.15"/>
    <row r="17931" hidden="1" x14ac:dyDescent="0.15"/>
    <row r="17932" hidden="1" x14ac:dyDescent="0.15"/>
    <row r="17933" hidden="1" x14ac:dyDescent="0.15"/>
    <row r="17934" hidden="1" x14ac:dyDescent="0.15"/>
    <row r="17935" hidden="1" x14ac:dyDescent="0.15"/>
    <row r="17936" hidden="1" x14ac:dyDescent="0.15"/>
    <row r="17937" hidden="1" x14ac:dyDescent="0.15"/>
    <row r="17938" hidden="1" x14ac:dyDescent="0.15"/>
    <row r="17939" hidden="1" x14ac:dyDescent="0.15"/>
    <row r="17940" hidden="1" x14ac:dyDescent="0.15"/>
    <row r="17941" hidden="1" x14ac:dyDescent="0.15"/>
    <row r="17942" hidden="1" x14ac:dyDescent="0.15"/>
    <row r="17943" hidden="1" x14ac:dyDescent="0.15"/>
    <row r="17944" hidden="1" x14ac:dyDescent="0.15"/>
    <row r="17945" hidden="1" x14ac:dyDescent="0.15"/>
    <row r="17946" hidden="1" x14ac:dyDescent="0.15"/>
    <row r="17947" hidden="1" x14ac:dyDescent="0.15"/>
    <row r="17948" hidden="1" x14ac:dyDescent="0.15"/>
    <row r="17949" hidden="1" x14ac:dyDescent="0.15"/>
    <row r="17950" hidden="1" x14ac:dyDescent="0.15"/>
    <row r="17951" hidden="1" x14ac:dyDescent="0.15"/>
    <row r="17952" hidden="1" x14ac:dyDescent="0.15"/>
    <row r="17953" hidden="1" x14ac:dyDescent="0.15"/>
    <row r="17954" hidden="1" x14ac:dyDescent="0.15"/>
    <row r="17955" hidden="1" x14ac:dyDescent="0.15"/>
    <row r="17956" hidden="1" x14ac:dyDescent="0.15"/>
    <row r="17957" hidden="1" x14ac:dyDescent="0.15"/>
    <row r="17958" hidden="1" x14ac:dyDescent="0.15"/>
    <row r="17959" hidden="1" x14ac:dyDescent="0.15"/>
    <row r="17960" hidden="1" x14ac:dyDescent="0.15"/>
    <row r="17961" hidden="1" x14ac:dyDescent="0.15"/>
    <row r="17962" hidden="1" x14ac:dyDescent="0.15"/>
    <row r="17963" hidden="1" x14ac:dyDescent="0.15"/>
    <row r="17964" hidden="1" x14ac:dyDescent="0.15"/>
    <row r="17965" hidden="1" x14ac:dyDescent="0.15"/>
    <row r="17966" hidden="1" x14ac:dyDescent="0.15"/>
    <row r="17967" hidden="1" x14ac:dyDescent="0.15"/>
    <row r="17968" hidden="1" x14ac:dyDescent="0.15"/>
    <row r="17969" hidden="1" x14ac:dyDescent="0.15"/>
    <row r="17970" hidden="1" x14ac:dyDescent="0.15"/>
    <row r="17971" hidden="1" x14ac:dyDescent="0.15"/>
    <row r="17972" hidden="1" x14ac:dyDescent="0.15"/>
    <row r="17973" hidden="1" x14ac:dyDescent="0.15"/>
    <row r="17974" hidden="1" x14ac:dyDescent="0.15"/>
    <row r="17975" hidden="1" x14ac:dyDescent="0.15"/>
    <row r="17976" hidden="1" x14ac:dyDescent="0.15"/>
    <row r="17977" hidden="1" x14ac:dyDescent="0.15"/>
    <row r="17978" hidden="1" x14ac:dyDescent="0.15"/>
    <row r="17979" hidden="1" x14ac:dyDescent="0.15"/>
    <row r="17980" hidden="1" x14ac:dyDescent="0.15"/>
    <row r="17981" hidden="1" x14ac:dyDescent="0.15"/>
    <row r="17982" hidden="1" x14ac:dyDescent="0.15"/>
    <row r="17983" hidden="1" x14ac:dyDescent="0.15"/>
    <row r="17984" hidden="1" x14ac:dyDescent="0.15"/>
    <row r="17985" hidden="1" x14ac:dyDescent="0.15"/>
    <row r="17986" hidden="1" x14ac:dyDescent="0.15"/>
    <row r="17987" hidden="1" x14ac:dyDescent="0.15"/>
    <row r="17988" hidden="1" x14ac:dyDescent="0.15"/>
    <row r="17989" hidden="1" x14ac:dyDescent="0.15"/>
    <row r="17990" hidden="1" x14ac:dyDescent="0.15"/>
    <row r="17991" hidden="1" x14ac:dyDescent="0.15"/>
    <row r="17992" hidden="1" x14ac:dyDescent="0.15"/>
    <row r="17993" hidden="1" x14ac:dyDescent="0.15"/>
    <row r="17994" hidden="1" x14ac:dyDescent="0.15"/>
    <row r="17995" hidden="1" x14ac:dyDescent="0.15"/>
    <row r="17996" hidden="1" x14ac:dyDescent="0.15"/>
    <row r="17997" hidden="1" x14ac:dyDescent="0.15"/>
    <row r="17998" hidden="1" x14ac:dyDescent="0.15"/>
    <row r="17999" hidden="1" x14ac:dyDescent="0.15"/>
    <row r="18000" hidden="1" x14ac:dyDescent="0.15"/>
    <row r="18001" hidden="1" x14ac:dyDescent="0.15"/>
    <row r="18002" hidden="1" x14ac:dyDescent="0.15"/>
    <row r="18003" hidden="1" x14ac:dyDescent="0.15"/>
    <row r="18004" hidden="1" x14ac:dyDescent="0.15"/>
    <row r="18005" hidden="1" x14ac:dyDescent="0.15"/>
    <row r="18006" hidden="1" x14ac:dyDescent="0.15"/>
    <row r="18007" hidden="1" x14ac:dyDescent="0.15"/>
    <row r="18008" hidden="1" x14ac:dyDescent="0.15"/>
    <row r="18009" hidden="1" x14ac:dyDescent="0.15"/>
    <row r="18010" hidden="1" x14ac:dyDescent="0.15"/>
    <row r="18011" hidden="1" x14ac:dyDescent="0.15"/>
    <row r="18012" hidden="1" x14ac:dyDescent="0.15"/>
    <row r="18013" hidden="1" x14ac:dyDescent="0.15"/>
    <row r="18014" hidden="1" x14ac:dyDescent="0.15"/>
    <row r="18015" hidden="1" x14ac:dyDescent="0.15"/>
    <row r="18016" hidden="1" x14ac:dyDescent="0.15"/>
    <row r="18017" hidden="1" x14ac:dyDescent="0.15"/>
    <row r="18018" hidden="1" x14ac:dyDescent="0.15"/>
    <row r="18019" hidden="1" x14ac:dyDescent="0.15"/>
    <row r="18020" hidden="1" x14ac:dyDescent="0.15"/>
    <row r="18021" hidden="1" x14ac:dyDescent="0.15"/>
    <row r="18022" hidden="1" x14ac:dyDescent="0.15"/>
    <row r="18023" hidden="1" x14ac:dyDescent="0.15"/>
    <row r="18024" hidden="1" x14ac:dyDescent="0.15"/>
    <row r="18025" hidden="1" x14ac:dyDescent="0.15"/>
    <row r="18026" hidden="1" x14ac:dyDescent="0.15"/>
    <row r="18027" hidden="1" x14ac:dyDescent="0.15"/>
    <row r="18028" hidden="1" x14ac:dyDescent="0.15"/>
    <row r="18029" hidden="1" x14ac:dyDescent="0.15"/>
    <row r="18030" hidden="1" x14ac:dyDescent="0.15"/>
    <row r="18031" hidden="1" x14ac:dyDescent="0.15"/>
    <row r="18032" hidden="1" x14ac:dyDescent="0.15"/>
    <row r="18033" hidden="1" x14ac:dyDescent="0.15"/>
    <row r="18034" hidden="1" x14ac:dyDescent="0.15"/>
    <row r="18035" hidden="1" x14ac:dyDescent="0.15"/>
    <row r="18036" hidden="1" x14ac:dyDescent="0.15"/>
    <row r="18037" hidden="1" x14ac:dyDescent="0.15"/>
    <row r="18038" hidden="1" x14ac:dyDescent="0.15"/>
    <row r="18039" hidden="1" x14ac:dyDescent="0.15"/>
    <row r="18040" hidden="1" x14ac:dyDescent="0.15"/>
    <row r="18041" hidden="1" x14ac:dyDescent="0.15"/>
    <row r="18042" hidden="1" x14ac:dyDescent="0.15"/>
    <row r="18043" hidden="1" x14ac:dyDescent="0.15"/>
    <row r="18044" hidden="1" x14ac:dyDescent="0.15"/>
    <row r="18045" hidden="1" x14ac:dyDescent="0.15"/>
    <row r="18046" hidden="1" x14ac:dyDescent="0.15"/>
    <row r="18047" hidden="1" x14ac:dyDescent="0.15"/>
    <row r="18048" hidden="1" x14ac:dyDescent="0.15"/>
    <row r="18049" hidden="1" x14ac:dyDescent="0.15"/>
    <row r="18050" hidden="1" x14ac:dyDescent="0.15"/>
    <row r="18051" hidden="1" x14ac:dyDescent="0.15"/>
    <row r="18052" hidden="1" x14ac:dyDescent="0.15"/>
    <row r="18053" hidden="1" x14ac:dyDescent="0.15"/>
    <row r="18054" hidden="1" x14ac:dyDescent="0.15"/>
    <row r="18055" hidden="1" x14ac:dyDescent="0.15"/>
    <row r="18056" hidden="1" x14ac:dyDescent="0.15"/>
    <row r="18057" hidden="1" x14ac:dyDescent="0.15"/>
    <row r="18058" hidden="1" x14ac:dyDescent="0.15"/>
    <row r="18059" hidden="1" x14ac:dyDescent="0.15"/>
    <row r="18060" hidden="1" x14ac:dyDescent="0.15"/>
    <row r="18061" hidden="1" x14ac:dyDescent="0.15"/>
    <row r="18062" hidden="1" x14ac:dyDescent="0.15"/>
    <row r="18063" hidden="1" x14ac:dyDescent="0.15"/>
    <row r="18064" hidden="1" x14ac:dyDescent="0.15"/>
    <row r="18065" hidden="1" x14ac:dyDescent="0.15"/>
    <row r="18066" hidden="1" x14ac:dyDescent="0.15"/>
    <row r="18067" hidden="1" x14ac:dyDescent="0.15"/>
    <row r="18068" hidden="1" x14ac:dyDescent="0.15"/>
    <row r="18069" hidden="1" x14ac:dyDescent="0.15"/>
    <row r="18070" hidden="1" x14ac:dyDescent="0.15"/>
    <row r="18071" hidden="1" x14ac:dyDescent="0.15"/>
    <row r="18072" hidden="1" x14ac:dyDescent="0.15"/>
    <row r="18073" hidden="1" x14ac:dyDescent="0.15"/>
    <row r="18074" hidden="1" x14ac:dyDescent="0.15"/>
    <row r="18075" hidden="1" x14ac:dyDescent="0.15"/>
    <row r="18076" hidden="1" x14ac:dyDescent="0.15"/>
    <row r="18077" hidden="1" x14ac:dyDescent="0.15"/>
    <row r="18078" hidden="1" x14ac:dyDescent="0.15"/>
    <row r="18079" hidden="1" x14ac:dyDescent="0.15"/>
    <row r="18080" hidden="1" x14ac:dyDescent="0.15"/>
    <row r="18081" hidden="1" x14ac:dyDescent="0.15"/>
    <row r="18082" hidden="1" x14ac:dyDescent="0.15"/>
    <row r="18083" hidden="1" x14ac:dyDescent="0.15"/>
    <row r="18084" hidden="1" x14ac:dyDescent="0.15"/>
    <row r="18085" hidden="1" x14ac:dyDescent="0.15"/>
    <row r="18086" hidden="1" x14ac:dyDescent="0.15"/>
    <row r="18087" hidden="1" x14ac:dyDescent="0.15"/>
    <row r="18088" hidden="1" x14ac:dyDescent="0.15"/>
    <row r="18089" hidden="1" x14ac:dyDescent="0.15"/>
    <row r="18090" hidden="1" x14ac:dyDescent="0.15"/>
    <row r="18091" hidden="1" x14ac:dyDescent="0.15"/>
    <row r="18092" hidden="1" x14ac:dyDescent="0.15"/>
    <row r="18093" hidden="1" x14ac:dyDescent="0.15"/>
    <row r="18094" hidden="1" x14ac:dyDescent="0.15"/>
    <row r="18095" hidden="1" x14ac:dyDescent="0.15"/>
    <row r="18096" hidden="1" x14ac:dyDescent="0.15"/>
    <row r="18097" hidden="1" x14ac:dyDescent="0.15"/>
    <row r="18098" hidden="1" x14ac:dyDescent="0.15"/>
    <row r="18099" hidden="1" x14ac:dyDescent="0.15"/>
    <row r="18100" hidden="1" x14ac:dyDescent="0.15"/>
    <row r="18101" hidden="1" x14ac:dyDescent="0.15"/>
    <row r="18102" hidden="1" x14ac:dyDescent="0.15"/>
    <row r="18103" hidden="1" x14ac:dyDescent="0.15"/>
    <row r="18104" hidden="1" x14ac:dyDescent="0.15"/>
    <row r="18105" hidden="1" x14ac:dyDescent="0.15"/>
    <row r="18106" hidden="1" x14ac:dyDescent="0.15"/>
    <row r="18107" hidden="1" x14ac:dyDescent="0.15"/>
    <row r="18108" hidden="1" x14ac:dyDescent="0.15"/>
    <row r="18109" hidden="1" x14ac:dyDescent="0.15"/>
    <row r="18110" hidden="1" x14ac:dyDescent="0.15"/>
    <row r="18111" hidden="1" x14ac:dyDescent="0.15"/>
    <row r="18112" hidden="1" x14ac:dyDescent="0.15"/>
    <row r="18113" hidden="1" x14ac:dyDescent="0.15"/>
    <row r="18114" hidden="1" x14ac:dyDescent="0.15"/>
    <row r="18115" hidden="1" x14ac:dyDescent="0.15"/>
    <row r="18116" hidden="1" x14ac:dyDescent="0.15"/>
    <row r="18117" hidden="1" x14ac:dyDescent="0.15"/>
    <row r="18118" hidden="1" x14ac:dyDescent="0.15"/>
    <row r="18119" hidden="1" x14ac:dyDescent="0.15"/>
    <row r="18120" hidden="1" x14ac:dyDescent="0.15"/>
    <row r="18121" hidden="1" x14ac:dyDescent="0.15"/>
    <row r="18122" hidden="1" x14ac:dyDescent="0.15"/>
    <row r="18123" hidden="1" x14ac:dyDescent="0.15"/>
    <row r="18124" hidden="1" x14ac:dyDescent="0.15"/>
    <row r="18125" hidden="1" x14ac:dyDescent="0.15"/>
    <row r="18126" hidden="1" x14ac:dyDescent="0.15"/>
    <row r="18127" hidden="1" x14ac:dyDescent="0.15"/>
    <row r="18128" hidden="1" x14ac:dyDescent="0.15"/>
    <row r="18129" hidden="1" x14ac:dyDescent="0.15"/>
    <row r="18130" hidden="1" x14ac:dyDescent="0.15"/>
    <row r="18131" hidden="1" x14ac:dyDescent="0.15"/>
    <row r="18132" hidden="1" x14ac:dyDescent="0.15"/>
    <row r="18133" hidden="1" x14ac:dyDescent="0.15"/>
    <row r="18134" hidden="1" x14ac:dyDescent="0.15"/>
    <row r="18135" hidden="1" x14ac:dyDescent="0.15"/>
    <row r="18136" hidden="1" x14ac:dyDescent="0.15"/>
    <row r="18137" hidden="1" x14ac:dyDescent="0.15"/>
    <row r="18138" hidden="1" x14ac:dyDescent="0.15"/>
    <row r="18139" hidden="1" x14ac:dyDescent="0.15"/>
    <row r="18140" hidden="1" x14ac:dyDescent="0.15"/>
    <row r="18141" hidden="1" x14ac:dyDescent="0.15"/>
    <row r="18142" hidden="1" x14ac:dyDescent="0.15"/>
    <row r="18143" hidden="1" x14ac:dyDescent="0.15"/>
    <row r="18144" hidden="1" x14ac:dyDescent="0.15"/>
    <row r="18145" hidden="1" x14ac:dyDescent="0.15"/>
    <row r="18146" hidden="1" x14ac:dyDescent="0.15"/>
    <row r="18147" hidden="1" x14ac:dyDescent="0.15"/>
    <row r="18148" hidden="1" x14ac:dyDescent="0.15"/>
    <row r="18149" hidden="1" x14ac:dyDescent="0.15"/>
    <row r="18150" hidden="1" x14ac:dyDescent="0.15"/>
    <row r="18151" hidden="1" x14ac:dyDescent="0.15"/>
    <row r="18152" hidden="1" x14ac:dyDescent="0.15"/>
    <row r="18153" hidden="1" x14ac:dyDescent="0.15"/>
    <row r="18154" hidden="1" x14ac:dyDescent="0.15"/>
    <row r="18155" hidden="1" x14ac:dyDescent="0.15"/>
    <row r="18156" hidden="1" x14ac:dyDescent="0.15"/>
    <row r="18157" hidden="1" x14ac:dyDescent="0.15"/>
    <row r="18158" hidden="1" x14ac:dyDescent="0.15"/>
    <row r="18159" hidden="1" x14ac:dyDescent="0.15"/>
    <row r="18160" hidden="1" x14ac:dyDescent="0.15"/>
    <row r="18161" hidden="1" x14ac:dyDescent="0.15"/>
    <row r="18162" hidden="1" x14ac:dyDescent="0.15"/>
    <row r="18163" hidden="1" x14ac:dyDescent="0.15"/>
    <row r="18164" hidden="1" x14ac:dyDescent="0.15"/>
    <row r="18165" hidden="1" x14ac:dyDescent="0.15"/>
    <row r="18166" hidden="1" x14ac:dyDescent="0.15"/>
    <row r="18167" hidden="1" x14ac:dyDescent="0.15"/>
    <row r="18168" hidden="1" x14ac:dyDescent="0.15"/>
    <row r="18169" hidden="1" x14ac:dyDescent="0.15"/>
    <row r="18170" hidden="1" x14ac:dyDescent="0.15"/>
    <row r="18171" hidden="1" x14ac:dyDescent="0.15"/>
    <row r="18172" hidden="1" x14ac:dyDescent="0.15"/>
    <row r="18173" hidden="1" x14ac:dyDescent="0.15"/>
    <row r="18174" hidden="1" x14ac:dyDescent="0.15"/>
    <row r="18175" hidden="1" x14ac:dyDescent="0.15"/>
    <row r="18176" hidden="1" x14ac:dyDescent="0.15"/>
    <row r="18177" hidden="1" x14ac:dyDescent="0.15"/>
    <row r="18178" hidden="1" x14ac:dyDescent="0.15"/>
    <row r="18179" hidden="1" x14ac:dyDescent="0.15"/>
    <row r="18180" hidden="1" x14ac:dyDescent="0.15"/>
    <row r="18181" hidden="1" x14ac:dyDescent="0.15"/>
    <row r="18182" hidden="1" x14ac:dyDescent="0.15"/>
    <row r="18183" hidden="1" x14ac:dyDescent="0.15"/>
    <row r="18184" hidden="1" x14ac:dyDescent="0.15"/>
    <row r="18185" hidden="1" x14ac:dyDescent="0.15"/>
    <row r="18186" hidden="1" x14ac:dyDescent="0.15"/>
    <row r="18187" hidden="1" x14ac:dyDescent="0.15"/>
    <row r="18188" hidden="1" x14ac:dyDescent="0.15"/>
    <row r="18189" hidden="1" x14ac:dyDescent="0.15"/>
    <row r="18190" hidden="1" x14ac:dyDescent="0.15"/>
    <row r="18191" hidden="1" x14ac:dyDescent="0.15"/>
    <row r="18192" hidden="1" x14ac:dyDescent="0.15"/>
    <row r="18193" hidden="1" x14ac:dyDescent="0.15"/>
    <row r="18194" hidden="1" x14ac:dyDescent="0.15"/>
    <row r="18195" hidden="1" x14ac:dyDescent="0.15"/>
    <row r="18196" hidden="1" x14ac:dyDescent="0.15"/>
    <row r="18197" hidden="1" x14ac:dyDescent="0.15"/>
    <row r="18198" hidden="1" x14ac:dyDescent="0.15"/>
    <row r="18199" hidden="1" x14ac:dyDescent="0.15"/>
    <row r="18200" hidden="1" x14ac:dyDescent="0.15"/>
    <row r="18201" hidden="1" x14ac:dyDescent="0.15"/>
    <row r="18202" hidden="1" x14ac:dyDescent="0.15"/>
    <row r="18203" hidden="1" x14ac:dyDescent="0.15"/>
    <row r="18204" hidden="1" x14ac:dyDescent="0.15"/>
    <row r="18205" hidden="1" x14ac:dyDescent="0.15"/>
    <row r="18206" hidden="1" x14ac:dyDescent="0.15"/>
    <row r="18207" hidden="1" x14ac:dyDescent="0.15"/>
    <row r="18208" hidden="1" x14ac:dyDescent="0.15"/>
    <row r="18209" hidden="1" x14ac:dyDescent="0.15"/>
    <row r="18210" ht="3" hidden="1" customHeight="1" x14ac:dyDescent="0.15"/>
  </sheetData>
  <sheetProtection algorithmName="SHA-512" hashValue="ZZCFwi2x31A7Qq/hKeXFIHxFsPSsAMyUdRsqnI+BlORY+kviQpPJlg76GuSpr+3copqozqpGr666y5tq8F7PNQ==" saltValue="OW8JWyilZhg6j9+O5j8GUQ==" spinCount="100000" sheet="1" objects="1" scenarios="1"/>
  <phoneticPr fontId="5" type="noConversion"/>
  <printOptions gridLines="1" gridLinesSet="0"/>
  <pageMargins left="0.78740157480314965" right="0.39370078740157483" top="0.59055118110236227" bottom="0.78740157480314965" header="0" footer="0"/>
  <pageSetup paperSize="9" scale="115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IMPULSE ®</vt:lpstr>
      <vt:lpstr>_8428.39.99.00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hhc</dc:creator>
  <cp:lastModifiedBy>Hellmut H. Calen</cp:lastModifiedBy>
  <cp:lastPrinted>2007-10-19T20:19:39Z</cp:lastPrinted>
  <dcterms:created xsi:type="dcterms:W3CDTF">1998-07-10T21:33:32Z</dcterms:created>
  <dcterms:modified xsi:type="dcterms:W3CDTF">2018-01-16T12:56:00Z</dcterms:modified>
</cp:coreProperties>
</file>