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-HC\EXCEL\IMPORT\PROJETO\FREEWARE\"/>
    </mc:Choice>
  </mc:AlternateContent>
  <bookViews>
    <workbookView xWindow="-15" yWindow="-15" windowWidth="9630" windowHeight="5175"/>
  </bookViews>
  <sheets>
    <sheet name="IMPULSE ®" sheetId="1" r:id="rId1"/>
  </sheets>
  <definedNames>
    <definedName name="_8428.39.99.00">'IMPULSE ®'!$N$6</definedName>
    <definedName name="_Regression_Int" localSheetId="0" hidden="1">1</definedName>
  </definedNames>
  <calcPr calcId="152511" iterate="1"/>
</workbook>
</file>

<file path=xl/calcChain.xml><?xml version="1.0" encoding="utf-8"?>
<calcChain xmlns="http://schemas.openxmlformats.org/spreadsheetml/2006/main">
  <c r="S2" i="1" l="1"/>
  <c r="BD2" i="1"/>
  <c r="BG2" i="1"/>
  <c r="BG12" i="1" s="1"/>
  <c r="BJ2" i="1"/>
  <c r="W12" i="1" s="1"/>
  <c r="K3" i="1"/>
  <c r="N3" i="1"/>
  <c r="R3" i="1" s="1"/>
  <c r="AI3" i="1"/>
  <c r="AX3" i="1"/>
  <c r="BD3" i="1"/>
  <c r="BG3" i="1"/>
  <c r="BJ3" i="1"/>
  <c r="N4" i="1"/>
  <c r="O4" i="1"/>
  <c r="AB4" i="1"/>
  <c r="AD4" i="1"/>
  <c r="AM4" i="1"/>
  <c r="AQ4" i="1"/>
  <c r="BD4" i="1"/>
  <c r="BG4" i="1"/>
  <c r="BJ4" i="1"/>
  <c r="BL4" i="1"/>
  <c r="L5" i="1"/>
  <c r="N5" i="1"/>
  <c r="P5" i="1"/>
  <c r="U5" i="1"/>
  <c r="AG5" i="1"/>
  <c r="AL5" i="1"/>
  <c r="BD5" i="1"/>
  <c r="BH2" i="1" s="1"/>
  <c r="BG5" i="1"/>
  <c r="BJ5" i="1"/>
  <c r="N6" i="1"/>
  <c r="R4" i="1" s="1"/>
  <c r="O6" i="1"/>
  <c r="AL6" i="1"/>
  <c r="AW6" i="1"/>
  <c r="AY6" i="1"/>
  <c r="BD6" i="1"/>
  <c r="BE6" i="1"/>
  <c r="BE2" i="1" s="1"/>
  <c r="BG6" i="1"/>
  <c r="BJ6" i="1"/>
  <c r="L7" i="1"/>
  <c r="N7" i="1"/>
  <c r="V4" i="1" s="1"/>
  <c r="R7" i="1"/>
  <c r="AL7" i="1"/>
  <c r="BD7" i="1"/>
  <c r="BF15" i="1" s="1"/>
  <c r="BF17" i="1" s="1"/>
  <c r="V6" i="1" s="1"/>
  <c r="BE7" i="1"/>
  <c r="BE3" i="1" s="1"/>
  <c r="BG7" i="1"/>
  <c r="BJ7" i="1"/>
  <c r="BK7" i="1"/>
  <c r="L8" i="1"/>
  <c r="M8" i="1"/>
  <c r="O8" i="1"/>
  <c r="R8" i="1"/>
  <c r="AL8" i="1"/>
  <c r="BD8" i="1"/>
  <c r="AD6" i="1" s="1"/>
  <c r="AC5" i="1"/>
  <c r="BE8" i="1"/>
  <c r="BJ8" i="1"/>
  <c r="BL8" i="1"/>
  <c r="AM7" i="1" s="1"/>
  <c r="AQ7" i="1" s="1"/>
  <c r="BM8" i="1"/>
  <c r="BO8" i="1"/>
  <c r="BP8" i="1"/>
  <c r="N9" i="1"/>
  <c r="AL9" i="1"/>
  <c r="BE9" i="1"/>
  <c r="BG9" i="1"/>
  <c r="BH9" i="1"/>
  <c r="BJ9" i="1"/>
  <c r="BM9" i="1"/>
  <c r="BO9" i="1"/>
  <c r="BP9" i="1"/>
  <c r="R10" i="1"/>
  <c r="S10" i="1"/>
  <c r="BE10" i="1"/>
  <c r="BJ10" i="1"/>
  <c r="BM10" i="1"/>
  <c r="BO10" i="1"/>
  <c r="BP10" i="1"/>
  <c r="B11" i="1"/>
  <c r="C11" i="1"/>
  <c r="BJ21" i="1" s="1"/>
  <c r="D11" i="1"/>
  <c r="E11" i="1"/>
  <c r="F11" i="1"/>
  <c r="BJ24" i="1" s="1"/>
  <c r="M11" i="1"/>
  <c r="BE11" i="1"/>
  <c r="BH11" i="1"/>
  <c r="BJ11" i="1"/>
  <c r="BM11" i="1"/>
  <c r="BO11" i="1"/>
  <c r="BP11" i="1"/>
  <c r="AQ12" i="1"/>
  <c r="BD12" i="1"/>
  <c r="BE12" i="1"/>
  <c r="BJ12" i="1"/>
  <c r="BE13" i="1"/>
  <c r="BF13" i="1"/>
  <c r="BH8" i="1" s="1"/>
  <c r="BG13" i="1"/>
  <c r="BJ13" i="1"/>
  <c r="BL13" i="1"/>
  <c r="BP13" i="1"/>
  <c r="I14" i="1"/>
  <c r="W14" i="1"/>
  <c r="BE14" i="1"/>
  <c r="BF14" i="1"/>
  <c r="BH13" i="1"/>
  <c r="BG14" i="1"/>
  <c r="BJ14" i="1"/>
  <c r="R15" i="1"/>
  <c r="AA15" i="1"/>
  <c r="AK15" i="1"/>
  <c r="AN15" i="1" s="1"/>
  <c r="BD15" i="1"/>
  <c r="BE15" i="1"/>
  <c r="BG15" i="1"/>
  <c r="BJ15" i="1"/>
  <c r="BK15" i="1"/>
  <c r="BL15" i="1"/>
  <c r="P16" i="1"/>
  <c r="T16" i="1" s="1"/>
  <c r="AL16" i="1"/>
  <c r="AM16" i="1"/>
  <c r="AN16" i="1"/>
  <c r="AO16" i="1"/>
  <c r="AP16" i="1"/>
  <c r="AQ16" i="1"/>
  <c r="BD16" i="1"/>
  <c r="BE16" i="1"/>
  <c r="BG16" i="1"/>
  <c r="BJ16" i="1"/>
  <c r="M17" i="1"/>
  <c r="BE17" i="1"/>
  <c r="BG17" i="1"/>
  <c r="BJ17" i="1"/>
  <c r="M18" i="1"/>
  <c r="Q18" i="1"/>
  <c r="U18" i="1"/>
  <c r="BF18" i="1"/>
  <c r="BJ18" i="1"/>
  <c r="BK18" i="1"/>
  <c r="P19" i="1"/>
  <c r="Q19" i="1"/>
  <c r="U19" i="1"/>
  <c r="AT19" i="1"/>
  <c r="AW19" i="1"/>
  <c r="AX19" i="1" s="1"/>
  <c r="BE19" i="1"/>
  <c r="BG19" i="1"/>
  <c r="BG20" i="1" s="1"/>
  <c r="AY8" i="1" s="1"/>
  <c r="BJ19" i="1"/>
  <c r="A20" i="1"/>
  <c r="C20" i="1"/>
  <c r="E20" i="1"/>
  <c r="U20" i="1"/>
  <c r="AT20" i="1"/>
  <c r="AU20" i="1"/>
  <c r="AW20" i="1"/>
  <c r="AX20" i="1" s="1"/>
  <c r="AY20" i="1"/>
  <c r="AZ20" i="1"/>
  <c r="BJ20" i="1"/>
  <c r="BN20" i="1"/>
  <c r="AT21" i="1"/>
  <c r="AU21" i="1"/>
  <c r="AW21" i="1"/>
  <c r="AX21" i="1" s="1"/>
  <c r="AY21" i="1"/>
  <c r="AZ21" i="1"/>
  <c r="BF21" i="1"/>
  <c r="BG21" i="1"/>
  <c r="BQ21" i="1"/>
  <c r="C22" i="1"/>
  <c r="AG22" i="1"/>
  <c r="AI22" i="1" s="1"/>
  <c r="AT22" i="1"/>
  <c r="AU22" i="1"/>
  <c r="AW22" i="1"/>
  <c r="AX22" i="1" s="1"/>
  <c r="AY22" i="1"/>
  <c r="AZ22" i="1"/>
  <c r="BD22" i="1"/>
  <c r="BF22" i="1"/>
  <c r="BJ22" i="1"/>
  <c r="BN22" i="1"/>
  <c r="A23" i="1"/>
  <c r="N23" i="1"/>
  <c r="N24" i="1" s="1"/>
  <c r="Q23" i="1"/>
  <c r="AH23" i="1"/>
  <c r="AG23" i="1" s="1"/>
  <c r="AT23" i="1"/>
  <c r="AU23" i="1"/>
  <c r="AV23" i="1" s="1"/>
  <c r="AW23" i="1"/>
  <c r="AX23" i="1"/>
  <c r="AY23" i="1"/>
  <c r="AZ23" i="1"/>
  <c r="BC23" i="1"/>
  <c r="BE23" i="1"/>
  <c r="BF23" i="1"/>
  <c r="BK23" i="1"/>
  <c r="BL23" i="1"/>
  <c r="M24" i="1"/>
  <c r="Y24" i="1"/>
  <c r="W24" i="1"/>
  <c r="X24" i="1" s="1"/>
  <c r="BC24" i="1"/>
  <c r="BD24" i="1"/>
  <c r="BE24" i="1"/>
  <c r="BF24" i="1"/>
  <c r="P25" i="1"/>
  <c r="Y25" i="1"/>
  <c r="BC25" i="1"/>
  <c r="G13" i="1" s="1"/>
  <c r="BD25" i="1"/>
  <c r="BF25" i="1"/>
  <c r="AY9" i="1" s="1"/>
  <c r="BL25" i="1"/>
  <c r="BN25" i="1"/>
  <c r="C26" i="1"/>
  <c r="R13" i="1" s="1"/>
  <c r="F26" i="1"/>
  <c r="R14" i="1"/>
  <c r="U26" i="1"/>
  <c r="I28" i="1"/>
  <c r="P28" i="1"/>
  <c r="W28" i="1"/>
  <c r="AE28" i="1"/>
  <c r="AK28" i="1"/>
  <c r="AS28" i="1"/>
  <c r="P130" i="1"/>
  <c r="AU19" i="1"/>
  <c r="AY19" i="1"/>
  <c r="AZ19" i="1"/>
  <c r="BA20" i="1"/>
  <c r="AD15" i="1"/>
  <c r="AD20" i="1"/>
  <c r="Y5" i="1"/>
  <c r="AD8" i="1"/>
  <c r="AD9" i="1"/>
  <c r="BN19" i="1"/>
  <c r="AD16" i="1"/>
  <c r="BL18" i="1"/>
  <c r="AP7" i="1"/>
  <c r="AP8" i="1"/>
  <c r="AP9" i="1"/>
  <c r="BF19" i="1"/>
  <c r="AY11" i="1"/>
  <c r="AP5" i="1"/>
  <c r="T4" i="1"/>
  <c r="AM9" i="1"/>
  <c r="O7" i="1"/>
  <c r="BE5" i="1"/>
  <c r="BE4" i="1"/>
  <c r="AY10" i="1" l="1"/>
  <c r="BD21" i="1"/>
  <c r="BE18" i="1"/>
  <c r="I9" i="1"/>
  <c r="I10" i="1"/>
  <c r="AQ9" i="1"/>
  <c r="BI5" i="1"/>
  <c r="BH16" i="1" s="1"/>
  <c r="BA21" i="1"/>
  <c r="BG8" i="1"/>
  <c r="BG11" i="1" s="1"/>
  <c r="AD19" i="1"/>
  <c r="BN18" i="1"/>
  <c r="AD11" i="1"/>
  <c r="BA23" i="1"/>
  <c r="AI23" i="1"/>
  <c r="AJ23" i="1" s="1"/>
  <c r="BA22" i="1"/>
  <c r="AN17" i="1"/>
  <c r="BF16" i="1"/>
  <c r="AO15" i="1"/>
  <c r="T5" i="1"/>
  <c r="BG18" i="1"/>
  <c r="BI6" i="1"/>
  <c r="BH20" i="1" s="1"/>
  <c r="AP6" i="1"/>
  <c r="AD5" i="1"/>
  <c r="AM6" i="1"/>
  <c r="BN21" i="1"/>
  <c r="AM5" i="1"/>
  <c r="AQ5" i="1" s="1"/>
  <c r="AD18" i="1"/>
  <c r="AD13" i="1"/>
  <c r="AD17" i="1"/>
  <c r="AQ18" i="1"/>
  <c r="AM15" i="1"/>
  <c r="BI13" i="1"/>
  <c r="AQ6" i="1"/>
  <c r="BL22" i="1"/>
  <c r="AB3" i="1"/>
  <c r="P20" i="1"/>
  <c r="W20" i="1"/>
  <c r="W21" i="1"/>
  <c r="T23" i="1"/>
  <c r="A24" i="1"/>
  <c r="T25" i="1"/>
  <c r="P26" i="1"/>
  <c r="N25" i="1"/>
  <c r="T19" i="1"/>
  <c r="Q20" i="1"/>
  <c r="P22" i="1"/>
  <c r="U23" i="1"/>
  <c r="Q26" i="1"/>
  <c r="AC22" i="1"/>
  <c r="P9" i="1"/>
  <c r="BH12" i="1"/>
  <c r="T14" i="1"/>
  <c r="T20" i="1"/>
  <c r="T22" i="1"/>
  <c r="E23" i="1"/>
  <c r="P23" i="1"/>
  <c r="A25" i="1"/>
  <c r="T26" i="1"/>
  <c r="AO3" i="1"/>
  <c r="AM8" i="1"/>
  <c r="AQ8" i="1" s="1"/>
  <c r="BJ23" i="1"/>
  <c r="C19" i="1"/>
  <c r="E19" i="1"/>
  <c r="AY7" i="1"/>
  <c r="AQ10" i="1"/>
  <c r="BL16" i="1"/>
  <c r="BL21" i="1" s="1"/>
  <c r="BL19" i="1"/>
  <c r="BL20" i="1"/>
  <c r="BL17" i="1"/>
  <c r="AI5" i="1"/>
  <c r="AJ5" i="1" s="1"/>
  <c r="W4" i="1"/>
  <c r="V3" i="1"/>
  <c r="O23" i="1"/>
  <c r="BN17" i="1"/>
  <c r="AB5" i="1"/>
  <c r="T6" i="1"/>
  <c r="BD10" i="1"/>
  <c r="T15" i="1"/>
  <c r="O21" i="1"/>
  <c r="N21" i="1" s="1"/>
  <c r="O9" i="1"/>
  <c r="BH19" i="1"/>
  <c r="AV19" i="1"/>
  <c r="BI23" i="1" s="1"/>
  <c r="BA19" i="1"/>
  <c r="BJ25" i="1"/>
  <c r="BH22" i="1"/>
  <c r="AV22" i="1"/>
  <c r="BH21" i="1" s="1"/>
  <c r="AV21" i="1"/>
  <c r="BI22" i="1" s="1"/>
  <c r="AV20" i="1"/>
  <c r="BI21" i="1" s="1"/>
  <c r="BI17" i="1"/>
  <c r="AL15" i="1"/>
  <c r="BH6" i="1"/>
  <c r="BH7" i="1" s="1"/>
  <c r="I13" i="1"/>
  <c r="AP15" i="1"/>
  <c r="I12" i="1" l="1"/>
  <c r="I11" i="1"/>
  <c r="AD21" i="1"/>
  <c r="V17" i="1"/>
  <c r="BH23" i="1"/>
  <c r="BI11" i="1"/>
  <c r="BH24" i="1" s="1"/>
  <c r="BH18" i="1" s="1"/>
  <c r="BI8" i="1" s="1"/>
  <c r="BI2" i="1"/>
  <c r="BI16" i="1" s="1"/>
  <c r="T3" i="1"/>
  <c r="BH17" i="1"/>
  <c r="BI3" i="1" s="1"/>
  <c r="BI19" i="1"/>
  <c r="BI18" i="1"/>
  <c r="BG24" i="1"/>
  <c r="BI14" i="1"/>
  <c r="BI20" i="1"/>
  <c r="BI4" i="1" s="1"/>
  <c r="BI15" i="1"/>
  <c r="BK5" i="1"/>
  <c r="BK6" i="1"/>
  <c r="BK3" i="1"/>
  <c r="BK2" i="1"/>
  <c r="BK4" i="1"/>
  <c r="BI10" i="1" l="1"/>
  <c r="BH25" i="1"/>
  <c r="BI12" i="1" s="1"/>
  <c r="BI9" i="1" s="1"/>
  <c r="BH14" i="1"/>
  <c r="BH15" i="1"/>
  <c r="BI7" i="1" l="1"/>
  <c r="H24" i="1" l="1"/>
  <c r="G24" i="1" s="1"/>
  <c r="BD9" i="1" s="1"/>
  <c r="BL3" i="1"/>
  <c r="BL2" i="1" s="1"/>
  <c r="AM3" i="1" s="1"/>
  <c r="AN3" i="1" l="1"/>
  <c r="BL11" i="1"/>
  <c r="AK10" i="1" s="1"/>
  <c r="AU25" i="1"/>
  <c r="K16" i="1"/>
  <c r="K18" i="1"/>
  <c r="AH21" i="1" s="1"/>
  <c r="AG21" i="1" s="1"/>
  <c r="AI21" i="1" s="1"/>
  <c r="AJ21" i="1" s="1"/>
  <c r="K6" i="1"/>
  <c r="K4" i="1"/>
  <c r="K15" i="1"/>
  <c r="R6" i="1" s="1"/>
  <c r="K14" i="1"/>
  <c r="R5" i="1" s="1"/>
  <c r="K17" i="1"/>
  <c r="AH18" i="1" s="1"/>
  <c r="AG18" i="1" s="1"/>
  <c r="AI18" i="1" s="1"/>
  <c r="AJ18" i="1" s="1"/>
  <c r="K20" i="1"/>
  <c r="AH17" i="1" s="1"/>
  <c r="AG17" i="1" s="1"/>
  <c r="AI17" i="1" s="1"/>
  <c r="AJ17" i="1" s="1"/>
  <c r="K7" i="1"/>
  <c r="K8" i="1"/>
  <c r="AU18" i="1" l="1"/>
  <c r="AV25" i="1"/>
  <c r="AH16" i="1"/>
  <c r="AG16" i="1" s="1"/>
  <c r="AI16" i="1" s="1"/>
  <c r="AJ16" i="1" s="1"/>
  <c r="AH7" i="1"/>
  <c r="AH14" i="1"/>
  <c r="AG14" i="1" s="1"/>
  <c r="AI14" i="1" s="1"/>
  <c r="AJ14" i="1" s="1"/>
  <c r="K5" i="1"/>
  <c r="K23" i="1"/>
  <c r="AH19" i="1" s="1"/>
  <c r="AG19" i="1" s="1"/>
  <c r="AI19" i="1" s="1"/>
  <c r="AJ19" i="1" s="1"/>
  <c r="AH6" i="1" l="1"/>
  <c r="N10" i="1"/>
  <c r="AG7" i="1"/>
  <c r="N11" i="1" l="1"/>
  <c r="K24" i="1"/>
  <c r="AI7" i="1"/>
  <c r="AJ7" i="1" s="1"/>
  <c r="AG6" i="1"/>
  <c r="AH25" i="1"/>
  <c r="AI6" i="1" l="1"/>
  <c r="AJ6" i="1" s="1"/>
  <c r="AG25" i="1"/>
  <c r="V7" i="1"/>
  <c r="O10" i="1"/>
  <c r="V8" i="1"/>
  <c r="BE21" i="1"/>
  <c r="BE22" i="1"/>
  <c r="BE20" i="1"/>
  <c r="AH20" i="1" s="1"/>
  <c r="AG20" i="1" s="1"/>
  <c r="AI20" i="1" s="1"/>
  <c r="AJ20" i="1" s="1"/>
  <c r="BD23" i="1"/>
  <c r="BC2" i="1"/>
  <c r="BC3" i="1" s="1"/>
  <c r="AH15" i="1"/>
  <c r="AG15" i="1" s="1"/>
  <c r="AI15" i="1" s="1"/>
  <c r="AJ15" i="1" s="1"/>
  <c r="K22" i="1"/>
  <c r="K21" i="1"/>
  <c r="BC6" i="1" l="1"/>
  <c r="BC4" i="1"/>
  <c r="BC7" i="1"/>
  <c r="BC8" i="1"/>
  <c r="BC5" i="1"/>
  <c r="N12" i="1" s="1"/>
  <c r="N13" i="1" l="1"/>
  <c r="AH8" i="1"/>
  <c r="AG8" i="1" l="1"/>
  <c r="AL14" i="1"/>
  <c r="AR14" i="1" s="1"/>
  <c r="AH26" i="1"/>
  <c r="AH24" i="1"/>
  <c r="AH9" i="1"/>
  <c r="N14" i="1"/>
  <c r="AH11" i="1" l="1"/>
  <c r="N15" i="1"/>
  <c r="AG9" i="1"/>
  <c r="AI8" i="1"/>
  <c r="AJ8" i="1" s="1"/>
  <c r="AG26" i="1"/>
  <c r="AG24" i="1"/>
  <c r="BG25" i="1"/>
  <c r="AI24" i="1" l="1"/>
  <c r="AJ24" i="1" s="1"/>
  <c r="AH12" i="1"/>
  <c r="N16" i="1"/>
  <c r="AI9" i="1"/>
  <c r="AJ9" i="1" s="1"/>
  <c r="AG11" i="1"/>
  <c r="N17" i="1" l="1"/>
  <c r="AH10" i="1"/>
  <c r="AI11" i="1"/>
  <c r="AJ11" i="1" s="1"/>
  <c r="AG12" i="1"/>
  <c r="AI12" i="1" s="1"/>
  <c r="AJ12" i="1" s="1"/>
  <c r="AG10" i="1" l="1"/>
  <c r="N18" i="1"/>
  <c r="K19" i="1"/>
  <c r="AH13" i="1" s="1"/>
  <c r="AG13" i="1" s="1"/>
  <c r="V12" i="1" s="1"/>
  <c r="AI13" i="1" l="1"/>
  <c r="AJ13" i="1" s="1"/>
  <c r="O11" i="1"/>
  <c r="O13" i="1"/>
  <c r="O12" i="1"/>
  <c r="K9" i="1" s="1"/>
  <c r="V9" i="1"/>
  <c r="V10" i="1"/>
  <c r="O15" i="1"/>
  <c r="O14" i="1"/>
  <c r="K11" i="1" s="1"/>
  <c r="O16" i="1"/>
  <c r="N22" i="1"/>
  <c r="N20" i="1"/>
  <c r="N19" i="1"/>
  <c r="R19" i="1"/>
  <c r="O17" i="1"/>
  <c r="AI10" i="1"/>
  <c r="AJ10" i="1" s="1"/>
  <c r="V11" i="1"/>
  <c r="O20" i="1" l="1"/>
  <c r="R9" i="1"/>
  <c r="R25" i="1"/>
  <c r="K12" i="1"/>
  <c r="K13" i="1"/>
  <c r="K10" i="1"/>
  <c r="V5" i="1"/>
  <c r="O24" i="1" s="1"/>
  <c r="BP12" i="1" s="1"/>
  <c r="R22" i="1"/>
  <c r="AD24" i="1" l="1"/>
  <c r="AJ25" i="1"/>
  <c r="AJ26" i="1"/>
  <c r="AR17" i="1"/>
  <c r="O19" i="1"/>
  <c r="O22" i="1"/>
  <c r="F22" i="1" s="1"/>
  <c r="O18" i="1"/>
  <c r="V13" i="1"/>
  <c r="V14" i="1" s="1"/>
  <c r="AC24" i="1" l="1"/>
  <c r="V15" i="1"/>
  <c r="F25" i="1"/>
  <c r="C25" i="1"/>
  <c r="B25" i="1"/>
  <c r="D25" i="1"/>
  <c r="E25" i="1"/>
  <c r="AV15" i="1"/>
  <c r="AN7" i="1" l="1"/>
  <c r="D24" i="1"/>
  <c r="F24" i="1"/>
  <c r="AN9" i="1"/>
  <c r="BF20" i="1"/>
  <c r="B24" i="1"/>
  <c r="AN5" i="1"/>
  <c r="E24" i="1"/>
  <c r="AN8" i="1"/>
  <c r="C24" i="1"/>
  <c r="AN6" i="1"/>
  <c r="BC9" i="1" l="1"/>
  <c r="BC11" i="1" s="1"/>
  <c r="Y17" i="1"/>
  <c r="Y16" i="1"/>
  <c r="AC17" i="1"/>
  <c r="AC16" i="1"/>
  <c r="Y7" i="1"/>
  <c r="Y12" i="1"/>
  <c r="AC19" i="1"/>
  <c r="Y14" i="1"/>
  <c r="Y10" i="1"/>
  <c r="Y19" i="1"/>
  <c r="Y20" i="1"/>
  <c r="Y18" i="1"/>
  <c r="AR8" i="1"/>
  <c r="AO8" i="1"/>
  <c r="BC13" i="1"/>
  <c r="AR5" i="1"/>
  <c r="AR10" i="1" s="1"/>
  <c r="AR18" i="1" s="1"/>
  <c r="AO5" i="1"/>
  <c r="BC12" i="1"/>
  <c r="AO6" i="1"/>
  <c r="AR6" i="1"/>
  <c r="AO9" i="1"/>
  <c r="AR9" i="1"/>
  <c r="BC16" i="1"/>
  <c r="BA12" i="1"/>
  <c r="BC10" i="1"/>
  <c r="BC15" i="1" s="1"/>
  <c r="R11" i="1" s="1"/>
  <c r="Y11" i="1" s="1"/>
  <c r="AO7" i="1"/>
  <c r="AR7" i="1"/>
  <c r="BC14" i="1" l="1"/>
  <c r="BK14" i="1"/>
  <c r="BK13" i="1" s="1"/>
  <c r="AA12" i="1" s="1"/>
  <c r="BC19" i="1"/>
  <c r="BC20" i="1"/>
  <c r="Y6" i="1"/>
  <c r="BQ19" i="1"/>
  <c r="BQ5" i="1"/>
  <c r="BF4" i="1"/>
  <c r="BF3" i="1" s="1"/>
  <c r="AA20" i="1"/>
  <c r="AQ14" i="1"/>
  <c r="AZ12" i="1"/>
  <c r="BA14" i="1"/>
  <c r="BC17" i="1"/>
  <c r="BC22" i="1" s="1"/>
  <c r="R12" i="1" s="1"/>
  <c r="BC21" i="1"/>
  <c r="Y13" i="1"/>
  <c r="BK17" i="1"/>
  <c r="BC18" i="1"/>
  <c r="BO4" i="1" l="1"/>
  <c r="BO3" i="1"/>
  <c r="BO2" i="1"/>
  <c r="BR14" i="1"/>
  <c r="AO14" i="1"/>
  <c r="BP22" i="1"/>
  <c r="BK16" i="1"/>
  <c r="AA14" i="1" s="1"/>
  <c r="BQ6" i="1"/>
  <c r="BQ16" i="1"/>
  <c r="BQ20" i="1"/>
  <c r="BN4" i="1"/>
  <c r="BP18" i="1"/>
  <c r="Y26" i="1" s="1"/>
  <c r="BQ15" i="1"/>
  <c r="AA7" i="1"/>
  <c r="BP21" i="1"/>
  <c r="BL14" i="1"/>
  <c r="F23" i="1"/>
  <c r="BR10" i="1"/>
  <c r="BR7" i="1"/>
  <c r="AD22" i="1"/>
  <c r="BR11" i="1"/>
  <c r="BR6" i="1"/>
  <c r="BR2" i="1"/>
  <c r="AC18" i="1"/>
  <c r="BR5" i="1"/>
  <c r="AV14" i="1"/>
  <c r="Y8" i="1"/>
  <c r="BQ2" i="1"/>
  <c r="AC26" i="1" s="1"/>
  <c r="Y9" i="1"/>
  <c r="AZ14" i="1" l="1"/>
  <c r="B23" i="1"/>
  <c r="BM3" i="1"/>
  <c r="BM4" i="1"/>
  <c r="BR12" i="1"/>
  <c r="BM2" i="1"/>
  <c r="AM14" i="1"/>
  <c r="BQ9" i="1"/>
  <c r="AC11" i="1" s="1"/>
  <c r="AA11" i="1"/>
  <c r="BF7" i="1"/>
  <c r="BQ13" i="1"/>
  <c r="BO20" i="1"/>
  <c r="BF10" i="1"/>
  <c r="BF9" i="1" s="1"/>
  <c r="BP20" i="1" s="1"/>
  <c r="AD23" i="1"/>
  <c r="AD26" i="1"/>
  <c r="BO19" i="1"/>
  <c r="BO6" i="1"/>
  <c r="BO7" i="1"/>
  <c r="BO23" i="1" s="1"/>
  <c r="BR15" i="1"/>
  <c r="BO5" i="1"/>
  <c r="BQ14" i="1" s="1"/>
  <c r="AP14" i="1"/>
  <c r="BO18" i="1" l="1"/>
  <c r="BO13" i="1"/>
  <c r="BP4" i="1"/>
  <c r="BO17" i="1"/>
  <c r="BO25" i="1"/>
  <c r="AA13" i="1"/>
  <c r="BQ10" i="1"/>
  <c r="AC13" i="1" s="1"/>
  <c r="BP5" i="1"/>
  <c r="BP3" i="1"/>
  <c r="BO16" i="1"/>
  <c r="BO15" i="1"/>
  <c r="AA6" i="1"/>
  <c r="BQ7" i="1"/>
  <c r="AC6" i="1" s="1"/>
  <c r="BP6" i="1"/>
  <c r="BO22" i="1"/>
  <c r="BO12" i="1"/>
  <c r="BO14" i="1"/>
  <c r="BF6" i="1"/>
  <c r="AA10" i="1" s="1"/>
  <c r="BQ17" i="1"/>
  <c r="BQ3" i="1"/>
  <c r="BR8" i="1"/>
  <c r="BR3" i="1"/>
  <c r="BO21" i="1"/>
  <c r="BQ11" i="1"/>
  <c r="BP7" i="1"/>
  <c r="BP2" i="1"/>
  <c r="BQ18" i="1"/>
  <c r="BR9" i="1"/>
  <c r="BQ4" i="1"/>
  <c r="BR4" i="1"/>
  <c r="BO24" i="1"/>
  <c r="BP19" i="1"/>
  <c r="AD25" i="1"/>
  <c r="AC20" i="1"/>
  <c r="AQ15" i="1" s="1"/>
  <c r="AR15" i="1" s="1"/>
  <c r="AR16" i="1" s="1"/>
  <c r="AC23" i="1"/>
  <c r="AC25" i="1"/>
  <c r="BM5" i="1" l="1"/>
  <c r="BM6" i="1"/>
  <c r="BM7" i="1"/>
  <c r="BR13" i="1"/>
  <c r="AN14" i="1"/>
  <c r="AA21" i="1"/>
  <c r="BD19" i="1"/>
  <c r="Y15" i="1" s="1"/>
  <c r="Y21" i="1" s="1"/>
  <c r="AL18" i="1"/>
  <c r="H20" i="1"/>
  <c r="BQ12" i="1" l="1"/>
  <c r="BN2" i="1"/>
  <c r="BM21" i="1"/>
  <c r="BM14" i="1"/>
  <c r="BM18" i="1"/>
  <c r="AA8" i="1"/>
  <c r="BQ8" i="1"/>
  <c r="BM15" i="1"/>
  <c r="BM20" i="1"/>
  <c r="BN3" i="1"/>
  <c r="BM19" i="1"/>
  <c r="R18" i="1"/>
  <c r="R21" i="1"/>
  <c r="R24" i="1"/>
  <c r="Y22" i="1"/>
  <c r="BM12" i="1"/>
  <c r="BM22" i="1"/>
  <c r="BM24" i="1"/>
  <c r="BM17" i="1"/>
  <c r="BM23" i="1"/>
  <c r="BM16" i="1"/>
  <c r="BM13" i="1"/>
  <c r="BM25" i="1"/>
  <c r="R20" i="1" l="1"/>
  <c r="V20" i="1"/>
  <c r="R26" i="1"/>
  <c r="V23" i="1"/>
  <c r="V26" i="1"/>
  <c r="Y23" i="1"/>
  <c r="D23" i="1" s="1"/>
  <c r="C23" i="1" s="1"/>
  <c r="R23" i="1"/>
  <c r="AC9" i="1"/>
  <c r="AC8" i="1"/>
  <c r="G20" i="1"/>
  <c r="V25" i="1"/>
  <c r="V22" i="1" l="1"/>
  <c r="V19" i="1"/>
  <c r="BD17" i="1"/>
  <c r="AC15" i="1"/>
  <c r="AC21" i="1" s="1"/>
  <c r="V24" i="1" s="1"/>
  <c r="V18" i="1" l="1"/>
  <c r="V21" i="1"/>
</calcChain>
</file>

<file path=xl/sharedStrings.xml><?xml version="1.0" encoding="utf-8"?>
<sst xmlns="http://schemas.openxmlformats.org/spreadsheetml/2006/main" count="599" uniqueCount="262">
  <si>
    <t xml:space="preserve"> =&gt;&gt;&gt;</t>
  </si>
  <si>
    <t>&lt;&lt;&lt;=</t>
  </si>
  <si>
    <t>ð</t>
  </si>
  <si>
    <t>ï</t>
  </si>
  <si>
    <t>IMPORT #</t>
  </si>
  <si>
    <t>=</t>
  </si>
  <si>
    <t>IMPORT  #</t>
  </si>
  <si>
    <t>01</t>
  </si>
  <si>
    <t>ITEM</t>
  </si>
  <si>
    <t>TOTAL</t>
  </si>
  <si>
    <t>02</t>
  </si>
  <si>
    <t>03</t>
  </si>
  <si>
    <t>04</t>
  </si>
  <si>
    <t>05</t>
  </si>
  <si>
    <t>FOB TOTAL</t>
  </si>
  <si>
    <t>STATUS</t>
  </si>
  <si>
    <t>N</t>
  </si>
  <si>
    <t>CIF</t>
  </si>
  <si>
    <t>Æ</t>
  </si>
  <si>
    <t xml:space="preserve">C+F </t>
  </si>
  <si>
    <t>CPMF</t>
  </si>
  <si>
    <t xml:space="preserve">I I </t>
  </si>
  <si>
    <t>IPI</t>
  </si>
  <si>
    <t>DSC%</t>
  </si>
  <si>
    <t>ICMS</t>
  </si>
  <si>
    <t>R$</t>
  </si>
  <si>
    <t>C/R/D</t>
  </si>
  <si>
    <t>TOTAL  US  =&gt;&gt;&gt;</t>
  </si>
  <si>
    <t>TOTAL  R$  =&gt;&gt;&gt;</t>
  </si>
  <si>
    <t>- x -</t>
  </si>
  <si>
    <t>=&gt;&gt;&gt;</t>
  </si>
  <si>
    <t>òòò</t>
  </si>
  <si>
    <t>ñññ</t>
  </si>
  <si>
    <t>ñ</t>
  </si>
  <si>
    <t>=&gt;</t>
  </si>
  <si>
    <t>US</t>
  </si>
  <si>
    <t>EU</t>
  </si>
  <si>
    <t>COFINS</t>
  </si>
  <si>
    <t>Euro</t>
  </si>
  <si>
    <t xml:space="preserve"> </t>
  </si>
  <si>
    <t>PIS</t>
  </si>
  <si>
    <t>1</t>
  </si>
  <si>
    <t>AA</t>
  </si>
  <si>
    <t>BB</t>
  </si>
  <si>
    <t>CC</t>
  </si>
  <si>
    <t>DD</t>
  </si>
  <si>
    <t>EE</t>
  </si>
  <si>
    <t>&lt;=&gt;</t>
  </si>
  <si>
    <t>YC</t>
  </si>
  <si>
    <t>YJ</t>
  </si>
  <si>
    <t>-IPI-ICMS-</t>
  </si>
  <si>
    <t xml:space="preserve"> -PIS-COF-</t>
  </si>
  <si>
    <t>10../5..</t>
  </si>
  <si>
    <t>QUANT</t>
  </si>
  <si>
    <t>REST</t>
  </si>
  <si>
    <t>VAR %</t>
  </si>
  <si>
    <t>DSPCH</t>
  </si>
  <si>
    <t>$O</t>
  </si>
  <si>
    <t>$S</t>
  </si>
  <si>
    <t>X</t>
  </si>
  <si>
    <t>BASE</t>
  </si>
  <si>
    <t>P</t>
  </si>
  <si>
    <t>IPI     IMPORT</t>
  </si>
  <si>
    <t>PIS           IMPORT</t>
  </si>
  <si>
    <t>ICMS        IMPORT</t>
  </si>
  <si>
    <t>Version RJ</t>
  </si>
  <si>
    <t xml:space="preserve">ORIGIN   =&gt; </t>
  </si>
  <si>
    <t>DATE</t>
  </si>
  <si>
    <t>CUSTOMER</t>
  </si>
  <si>
    <t>VERSION</t>
  </si>
  <si>
    <t>TRANSPORT</t>
  </si>
  <si>
    <t>COIN</t>
  </si>
  <si>
    <t>PRODUCT</t>
  </si>
  <si>
    <t>QUANTITY</t>
  </si>
  <si>
    <t>FOB GROSS</t>
  </si>
  <si>
    <t>DISCOUNT</t>
  </si>
  <si>
    <t>IMP TAX</t>
  </si>
  <si>
    <t>ICMS RESALE</t>
  </si>
  <si>
    <t>SF</t>
  </si>
  <si>
    <t>EP</t>
  </si>
  <si>
    <t>LOAD T,K,M,C</t>
  </si>
  <si>
    <t>CUSTOMS CST</t>
  </si>
  <si>
    <t>EXTRA COSTS</t>
  </si>
  <si>
    <t>FCTOR IMPORT</t>
  </si>
  <si>
    <t>CST + FREIGHT</t>
  </si>
  <si>
    <t>PIS-RESALE =&gt;</t>
  </si>
  <si>
    <t>COFINS-RSL =&gt;</t>
  </si>
  <si>
    <t xml:space="preserve"> INTERST / DAY</t>
  </si>
  <si>
    <t>FINAL CSTMER</t>
  </si>
  <si>
    <t xml:space="preserve"> CRED FUT TAX</t>
  </si>
  <si>
    <t>LIC #</t>
  </si>
  <si>
    <t>ITEM #</t>
  </si>
  <si>
    <t>INS-PL</t>
  </si>
  <si>
    <t>STATUS RP/EP</t>
  </si>
  <si>
    <t>TR/ADV</t>
  </si>
  <si>
    <t>COM</t>
  </si>
  <si>
    <t>PHASE</t>
  </si>
  <si>
    <t>1/2/3 P/M</t>
  </si>
  <si>
    <t>Y</t>
  </si>
  <si>
    <t>ORIGIN</t>
  </si>
  <si>
    <t>FREIGHT AIR</t>
  </si>
  <si>
    <t>EXCHANGE  US</t>
  </si>
  <si>
    <t>CUSTOMS COST</t>
  </si>
  <si>
    <t>LOCAL FREIGHT CST</t>
  </si>
  <si>
    <t>INSURANCE</t>
  </si>
  <si>
    <t>AIR COSTS</t>
  </si>
  <si>
    <t>&lt;&lt;&lt;= IMPORT COST CALCULATION - DOOR TO DOOR</t>
  </si>
  <si>
    <t>CUMULATIVE  =&gt;&gt;</t>
  </si>
  <si>
    <t>IMPORT TAX</t>
  </si>
  <si>
    <t>FACTOR</t>
  </si>
  <si>
    <t>SITUATION  &gt;PHASE 1&lt;</t>
  </si>
  <si>
    <t>IMPORT # / CLIENT</t>
  </si>
  <si>
    <t>MARGIN FOR RESALE</t>
  </si>
  <si>
    <t>CAPITAL INTEREST</t>
  </si>
  <si>
    <t>ICMS       RESALE</t>
  </si>
  <si>
    <t>IPI            RESALE</t>
  </si>
  <si>
    <t>CONDITION</t>
  </si>
  <si>
    <t>PHASE 1 - PRICE</t>
  </si>
  <si>
    <t>IN ACTION</t>
  </si>
  <si>
    <t>IPI             IMPORT</t>
  </si>
  <si>
    <t>COFINS   IMPORT</t>
  </si>
  <si>
    <t>ASSERT VARI  R$</t>
  </si>
  <si>
    <t>TOTAL COST</t>
  </si>
  <si>
    <t>FOB IN R$</t>
  </si>
  <si>
    <t>IMPORT COSTS</t>
  </si>
  <si>
    <t>IMPORTED</t>
  </si>
  <si>
    <t>IPI IMPORT CREDIT</t>
  </si>
  <si>
    <t>ICMS       COSTUMER</t>
  </si>
  <si>
    <t>ICMS IMPORT CREDIT</t>
  </si>
  <si>
    <t>EXTRA COST</t>
  </si>
  <si>
    <t>ADVERTISING/TRAINING</t>
  </si>
  <si>
    <t>PROF PRETAX (LOSSES)</t>
  </si>
  <si>
    <t>DESTINATION</t>
  </si>
  <si>
    <t>TOTAL FUTURE CREDIT</t>
  </si>
  <si>
    <t>&lt;&lt;&lt;= TAXES AND OPERATIONAL COSTS IN R$</t>
  </si>
  <si>
    <t>IMPORT EFFECTIVE COSTS IN ACTION (Y/N)               =&gt;&gt;&gt;</t>
  </si>
  <si>
    <t>REFERENCE</t>
  </si>
  <si>
    <t>EFFECTIVE</t>
  </si>
  <si>
    <t>ESTIMATE</t>
  </si>
  <si>
    <t>ESTIMATE COSTS IN PHASE 1</t>
  </si>
  <si>
    <t>VARIATION</t>
  </si>
  <si>
    <t>ADVANCE MERCHANDISE</t>
  </si>
  <si>
    <t>REST PAYMENT OR TOTAL</t>
  </si>
  <si>
    <t>SEE / AIR FREIGHT</t>
  </si>
  <si>
    <t>TAX  IPI</t>
  </si>
  <si>
    <t>TAX  ICMS</t>
  </si>
  <si>
    <t>TAX  PIS IMPORT</t>
  </si>
  <si>
    <t>TRANSPORT INSURANCE</t>
  </si>
  <si>
    <t>HOUSING SEE / AIR</t>
  </si>
  <si>
    <t>HARBOR COSTS</t>
  </si>
  <si>
    <t>IMPORT LICENSE</t>
  </si>
  <si>
    <t>LOCAL FREIGHT</t>
  </si>
  <si>
    <t>OTHERS</t>
  </si>
  <si>
    <t>REFERENCE EXCHANGE US</t>
  </si>
  <si>
    <t>PART MERCHANDISE</t>
  </si>
  <si>
    <t>o/RESALE =&gt;&gt;</t>
  </si>
  <si>
    <t>RESUME RESALE PRICE OR IMPORT COST IN PHASE 1, 2 OR 3</t>
  </si>
  <si>
    <t>IN ACTION        =&gt;&gt;&gt;</t>
  </si>
  <si>
    <t>PRICE R$</t>
  </si>
  <si>
    <t>VALUE R$/UNIT</t>
  </si>
  <si>
    <t>TOT RSALE R$</t>
  </si>
  <si>
    <t>RESUME TOTAL TAXES ACCORDING PARAMETERS IN ACTION (R$)                 BASE:</t>
  </si>
  <si>
    <t>PH</t>
  </si>
  <si>
    <t xml:space="preserve"> DIFFER BETWEEN PHASES:  =&gt;</t>
  </si>
  <si>
    <t xml:space="preserve">        TAXES / TOTAL SALES:</t>
  </si>
  <si>
    <t>EFFECT RESALE IN ACTION (Y/N)  =&gt;&gt;</t>
  </si>
  <si>
    <t>EFFECTIVE GLOBAL RESALE VALUE:</t>
  </si>
  <si>
    <t>BEFORE PRACTICES RESALE VALUE:</t>
  </si>
  <si>
    <t>IN</t>
  </si>
  <si>
    <t>MEAN TOTAL</t>
  </si>
  <si>
    <t>VARIATION R$</t>
  </si>
  <si>
    <t>IN ACTION:          =&gt;&gt;&gt;</t>
  </si>
  <si>
    <t>Author of this product: Hellmut H. Calen</t>
  </si>
  <si>
    <t>This spreadsheet is intended as a support tool for foreign trade advisory provided by the company.</t>
  </si>
  <si>
    <t>It is expressly forbidden to reproduce in whole or in part for purposes of processing data with commercial intent.</t>
  </si>
  <si>
    <t>Copies of this product will only be allowed with the permission of Impulse Assessoria de Negócios Ltda.</t>
  </si>
  <si>
    <t>The data for calculating the costs for the services of ports and customs agent, as well charges, are in accordance</t>
  </si>
  <si>
    <t>with the values ​​and percentages as practiced in the State abbreviation indicated in the title of spreadsheet and</t>
  </si>
  <si>
    <t>are current on the date of this release.</t>
  </si>
  <si>
    <t>The currency abbreviations accepted in field "G4" = COIN by import are:</t>
  </si>
  <si>
    <t>Swiss Franc</t>
  </si>
  <si>
    <t>English Pound</t>
  </si>
  <si>
    <t>Chinese Yuan</t>
  </si>
  <si>
    <t>Other Currency</t>
  </si>
  <si>
    <t>Dollar USA</t>
  </si>
  <si>
    <t>Southamerica currency</t>
  </si>
  <si>
    <t>FREIGHT SEA</t>
  </si>
  <si>
    <t>SEA COSTS</t>
  </si>
  <si>
    <t>- Frame by Frame displacement occurs, pressing "Alt" + "Page Down" or "Page Up"</t>
  </si>
  <si>
    <t>F-1</t>
  </si>
  <si>
    <t>F-2 =&gt;&gt;&gt;</t>
  </si>
  <si>
    <t>F-3 =&gt;&gt;&gt;</t>
  </si>
  <si>
    <t>F-4 =&gt;&gt;&gt;</t>
  </si>
  <si>
    <t>F-5 =&gt;&gt;&gt;</t>
  </si>
  <si>
    <t>F-6 =&gt;&gt;&gt;</t>
  </si>
  <si>
    <t>F-7</t>
  </si>
  <si>
    <t>CURRENCY</t>
  </si>
  <si>
    <t>DATA COLLECTION - IMPORTATION              =&gt;&gt;&gt;</t>
  </si>
  <si>
    <t>MINIMUM WAGE</t>
  </si>
  <si>
    <t>&lt;&lt;&lt;= CALCULATION TOTAL COST OF SALES - R$ AND</t>
  </si>
  <si>
    <t>ICMS       RESELLER</t>
  </si>
  <si>
    <t>PHASE 1:    =&gt;</t>
  </si>
  <si>
    <t>CHANGES IN PRICES WITH RESALE DISCOUNTS PRACTICED</t>
  </si>
  <si>
    <t xml:space="preserve"> + CST/UNIT</t>
  </si>
  <si>
    <t>FOB NET/UNIT</t>
  </si>
  <si>
    <t>on FOB</t>
  </si>
  <si>
    <t>on DSB</t>
  </si>
  <si>
    <t>TAX TO COLLECT</t>
  </si>
  <si>
    <t>SITUATION</t>
  </si>
  <si>
    <t>PIS           RESALE</t>
  </si>
  <si>
    <t>COFINS  RESALE</t>
  </si>
  <si>
    <t>PART FREIGHT  wo/FOB</t>
  </si>
  <si>
    <t>PART TAXES wo/C( I )F</t>
  </si>
  <si>
    <t>PART IPI wo/ C( I )F</t>
  </si>
  <si>
    <t>PART ICMS wo/ C( I )F</t>
  </si>
  <si>
    <t>PRT PIS+COFIN wo/ C( I )F</t>
  </si>
  <si>
    <t>PR / PE</t>
  </si>
  <si>
    <t>PR</t>
  </si>
  <si>
    <t>RESALE COMMISSION</t>
  </si>
  <si>
    <t>FIXED COSTS</t>
  </si>
  <si>
    <t>FIXED COST + EXTRA</t>
  </si>
  <si>
    <t>SURCHARGE MERCHTNAVY</t>
  </si>
  <si>
    <t>R</t>
  </si>
  <si>
    <t>R$ wo/IPI/UNIT</t>
  </si>
  <si>
    <t>PRACTICED</t>
  </si>
  <si>
    <t>TOTAL VARIATION                =&gt;&gt;&gt;</t>
  </si>
  <si>
    <t>PART TAX/HARBOR COSTS</t>
  </si>
  <si>
    <t>AGENT FEE LICENSE</t>
  </si>
  <si>
    <t>AGENT FEE DISENGAGE</t>
  </si>
  <si>
    <t>&lt;&lt;&lt;= IMPORTATION, EFFECTIVE AND ESTIMATED COSTS IN R$ (Reais)</t>
  </si>
  <si>
    <t>DISCOUNT IN ALL QUANTITIES AND ITEMS            =&gt;&gt;&gt;</t>
  </si>
  <si>
    <t>ADDITIONAL CUSTOMS COST</t>
  </si>
  <si>
    <t>NOTICES FOR USERS (Write in Column "AK", Line 20 to 26):</t>
  </si>
  <si>
    <t>LICENSE IMPORT</t>
  </si>
  <si>
    <t>FEE FOR LICENSE</t>
  </si>
  <si>
    <t>BASE CLC AGENT</t>
  </si>
  <si>
    <t>Japanese Yen</t>
  </si>
  <si>
    <t>IPI               RESALE</t>
  </si>
  <si>
    <t>QUANTITY AND DISCOUNT, ITEM 01                        =&gt;&gt;&gt;</t>
  </si>
  <si>
    <t>QUANTITY AND DISCOUNT, ITEM 02                        =&gt;&gt;&gt;</t>
  </si>
  <si>
    <t>QUANTITY AND DISCOUNT, ITEM 03                        =&gt;&gt;&gt;</t>
  </si>
  <si>
    <t>QUANTITY AND DISCOUNT, ITEM 04                        =&gt;&gt;&gt;</t>
  </si>
  <si>
    <t>PIS            RESALE</t>
  </si>
  <si>
    <t>QUANTITY AND DISCOUNT, ITEM 05                        =&gt;&gt;&gt;</t>
  </si>
  <si>
    <t>TAX  COFINS IMPORT</t>
  </si>
  <si>
    <t>GLOBAL RESALE VALUE TO PRACTICE                  =&gt;&gt;&gt;</t>
  </si>
  <si>
    <t>COFINS            RESALE</t>
  </si>
  <si>
    <t>PIS     IMPORT</t>
  </si>
  <si>
    <t>COFINS    IMP</t>
  </si>
  <si>
    <t>ICMS IMPORT</t>
  </si>
  <si>
    <t>IPI       RESALE</t>
  </si>
  <si>
    <r>
      <rPr>
        <b/>
        <sz val="6"/>
        <color indexed="17"/>
        <rFont val="Arial"/>
        <family val="2"/>
      </rPr>
      <t>IPI</t>
    </r>
    <r>
      <rPr>
        <b/>
        <sz val="6"/>
        <color indexed="10"/>
        <rFont val="Arial"/>
        <family val="2"/>
      </rPr>
      <t xml:space="preserve">E </t>
    </r>
    <r>
      <rPr>
        <b/>
        <sz val="6"/>
        <rFont val="Arial"/>
        <family val="2"/>
      </rPr>
      <t>Y/N</t>
    </r>
  </si>
  <si>
    <r>
      <t>Æ</t>
    </r>
    <r>
      <rPr>
        <b/>
        <sz val="6"/>
        <color indexed="12"/>
        <rFont val="Arial"/>
        <family val="2"/>
      </rPr>
      <t xml:space="preserve"> PH-1 to PH-2 ov/TOTAL</t>
    </r>
  </si>
  <si>
    <r>
      <t>Æ</t>
    </r>
    <r>
      <rPr>
        <b/>
        <sz val="6"/>
        <color indexed="12"/>
        <rFont val="Arial"/>
        <family val="2"/>
      </rPr>
      <t xml:space="preserve"> PH-2 to FS-3 ov/TOTAL</t>
    </r>
  </si>
  <si>
    <r>
      <t xml:space="preserve">For suport, training and alteration by request, contact by email: </t>
    </r>
    <r>
      <rPr>
        <b/>
        <sz val="6"/>
        <color indexed="12"/>
        <rFont val="Arial"/>
        <family val="2"/>
      </rPr>
      <t>hhc@impulserio.com.br</t>
    </r>
  </si>
  <si>
    <t>- Configure in  "Option Excel" =&gt; "Formula": Automatic and check Interaction.</t>
  </si>
  <si>
    <t>Freeware via Website</t>
  </si>
  <si>
    <t>The results of data simulation are merely guides.</t>
  </si>
  <si>
    <t>- For greater view of the spreadsheet: reduce, move and/or hide the menu bars at top.</t>
  </si>
  <si>
    <t>- Frame "F-1" adjustment: by changing scale until "=&gt;&gt;&gt;" is adapted on the right margin.</t>
  </si>
  <si>
    <t>We do not assume responsabilities for the accuracy of the results and changes of legislation and application of percentages/costs.</t>
  </si>
  <si>
    <t>Copyright by Impulse Assessoria de Negócios Ltda. - V. 4.3.1 - 05/2014 - Freeware - hhc@impulserio.com.br - www.impulserio.com.br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</si>
</sst>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&quot;$&quot;#,##0.00_);\(&quot;$&quot;#,##0.00\)"/>
    <numFmt numFmtId="165" formatCode="General_)"/>
    <numFmt numFmtId="166" formatCode="#,##0.0000_);\(#,##0.0000\)"/>
    <numFmt numFmtId="167" formatCode="#,##0.00000_);\(#,##0.00000\)"/>
    <numFmt numFmtId="168" formatCode="dd\-mmm_)"/>
    <numFmt numFmtId="169" formatCode="#,##0.000_);\(#,##0.000\)"/>
    <numFmt numFmtId="170" formatCode="00"/>
    <numFmt numFmtId="171" formatCode="#,##0.0000"/>
    <numFmt numFmtId="172" formatCode="&quot;$&quot;#,##0.00"/>
    <numFmt numFmtId="173" formatCode="&quot;$&quot;#,##0.0000"/>
    <numFmt numFmtId="174" formatCode="0.0000"/>
    <numFmt numFmtId="175" formatCode="0.0%"/>
    <numFmt numFmtId="176" formatCode="0.00_);\(0.00\)"/>
    <numFmt numFmtId="177" formatCode="0.0000%"/>
    <numFmt numFmtId="178" formatCode="0_);\(0\)"/>
    <numFmt numFmtId="179" formatCode="0.00000_);\(0.00000\)"/>
    <numFmt numFmtId="180" formatCode="0.0000_);\(0.0000\)"/>
    <numFmt numFmtId="181" formatCode="0.0000%\ "/>
    <numFmt numFmtId="182" formatCode="#,##0.000"/>
    <numFmt numFmtId="183" formatCode="dd/mm/yyyy\ "/>
    <numFmt numFmtId="184" formatCode="00.0"/>
    <numFmt numFmtId="185" formatCode="000"/>
    <numFmt numFmtId="186" formatCode="#,##0.00_ ;\-#,##0.00\ "/>
  </numFmts>
  <fonts count="4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0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50"/>
      <name val="Arial"/>
      <family val="2"/>
    </font>
    <font>
      <b/>
      <sz val="9"/>
      <color indexed="10"/>
      <name val="Wingdings"/>
      <charset val="2"/>
    </font>
    <font>
      <b/>
      <sz val="8"/>
      <color indexed="12"/>
      <name val="Arial"/>
      <family val="2"/>
    </font>
    <font>
      <sz val="8"/>
      <color indexed="50"/>
      <name val="Arial"/>
      <family val="2"/>
    </font>
    <font>
      <sz val="7"/>
      <name val="Arial"/>
      <family val="2"/>
    </font>
    <font>
      <b/>
      <sz val="7"/>
      <name val="Times New Roman"/>
      <family val="1"/>
    </font>
    <font>
      <sz val="8"/>
      <color indexed="12"/>
      <name val="Arial"/>
      <family val="2"/>
    </font>
    <font>
      <sz val="6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8"/>
      <name val="Arial"/>
      <family val="2"/>
    </font>
    <font>
      <b/>
      <sz val="6"/>
      <color indexed="17"/>
      <name val="Arial"/>
      <family val="2"/>
    </font>
    <font>
      <b/>
      <sz val="6"/>
      <color indexed="50"/>
      <name val="Arial"/>
      <family val="2"/>
    </font>
    <font>
      <b/>
      <sz val="6"/>
      <color indexed="10"/>
      <name val="Arial"/>
      <family val="2"/>
    </font>
    <font>
      <b/>
      <sz val="6"/>
      <color indexed="10"/>
      <name val="Wingdings"/>
      <charset val="2"/>
    </font>
    <font>
      <b/>
      <sz val="6"/>
      <color indexed="12"/>
      <name val="Arial"/>
      <family val="2"/>
    </font>
    <font>
      <b/>
      <sz val="6"/>
      <color indexed="48"/>
      <name val="Arial"/>
      <family val="2"/>
    </font>
    <font>
      <sz val="6"/>
      <name val="Courier"/>
      <family val="3"/>
    </font>
    <font>
      <sz val="6"/>
      <color indexed="12"/>
      <name val="Arial"/>
      <family val="2"/>
    </font>
    <font>
      <sz val="6"/>
      <color indexed="8"/>
      <name val="Arial"/>
      <family val="2"/>
    </font>
    <font>
      <sz val="6"/>
      <color indexed="50"/>
      <name val="Arial"/>
      <family val="2"/>
    </font>
    <font>
      <sz val="6"/>
      <color indexed="12"/>
      <name val="Symbol"/>
      <family val="1"/>
      <charset val="2"/>
    </font>
    <font>
      <sz val="6"/>
      <color indexed="10"/>
      <name val="Arial"/>
      <family val="2"/>
    </font>
    <font>
      <sz val="6"/>
      <color indexed="17"/>
      <name val="Symbol"/>
      <family val="1"/>
      <charset val="2"/>
    </font>
    <font>
      <b/>
      <sz val="6"/>
      <color indexed="17"/>
      <name val="Symbol"/>
      <family val="1"/>
      <charset val="2"/>
    </font>
    <font>
      <sz val="6"/>
      <name val="Courier"/>
    </font>
    <font>
      <sz val="6"/>
      <color indexed="39"/>
      <name val="Arial"/>
      <family val="2"/>
    </font>
    <font>
      <b/>
      <sz val="6"/>
      <color rgb="FF000000"/>
      <name val="Arial"/>
      <family val="2"/>
    </font>
    <font>
      <b/>
      <sz val="6"/>
      <color indexed="12"/>
      <name val="Symbol"/>
      <family val="1"/>
      <charset val="2"/>
    </font>
    <font>
      <b/>
      <sz val="6"/>
      <name val="Times New Roman"/>
      <family val="1"/>
    </font>
    <font>
      <b/>
      <sz val="6"/>
      <color indexed="8"/>
      <name val="Times New Roman"/>
      <family val="1"/>
    </font>
    <font>
      <sz val="6"/>
      <color indexed="9"/>
      <name val="Arial"/>
      <family val="2"/>
    </font>
    <font>
      <b/>
      <sz val="6"/>
      <color rgb="FFFF0000"/>
      <name val="Arial"/>
      <family val="2"/>
    </font>
    <font>
      <b/>
      <sz val="6"/>
      <color indexed="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</borders>
  <cellStyleXfs count="1">
    <xf numFmtId="165" fontId="0" fillId="0" borderId="0">
      <alignment vertical="center"/>
      <protection locked="0" hidden="1"/>
    </xf>
  </cellStyleXfs>
  <cellXfs count="499">
    <xf numFmtId="165" fontId="0" fillId="0" borderId="0" xfId="0">
      <alignment vertical="center"/>
      <protection locked="0" hidden="1"/>
    </xf>
    <xf numFmtId="165" fontId="6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39" fontId="15" fillId="0" borderId="0" xfId="0" applyNumberFormat="1" applyFont="1" applyAlignment="1" applyProtection="1">
      <alignment vertical="center"/>
      <protection hidden="1"/>
    </xf>
    <xf numFmtId="165" fontId="11" fillId="0" borderId="0" xfId="0" applyFont="1" applyAlignment="1" applyProtection="1">
      <alignment vertical="center"/>
      <protection hidden="1"/>
    </xf>
    <xf numFmtId="165" fontId="16" fillId="0" borderId="0" xfId="0" quotePrefix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165" fontId="14" fillId="0" borderId="0" xfId="0" quotePrefix="1" applyFont="1" applyAlignment="1" applyProtection="1">
      <alignment horizontal="left" vertical="center"/>
      <protection hidden="1"/>
    </xf>
    <xf numFmtId="1" fontId="11" fillId="0" borderId="0" xfId="0" quotePrefix="1" applyNumberFormat="1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37" fontId="12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horizontal="right"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65" fontId="3" fillId="0" borderId="0" xfId="0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8" fillId="2" borderId="0" xfId="0" applyNumberFormat="1" applyFont="1" applyFill="1" applyAlignment="1" applyProtection="1">
      <alignment horizontal="center" vertical="center"/>
      <protection hidden="1"/>
    </xf>
    <xf numFmtId="165" fontId="8" fillId="2" borderId="0" xfId="0" applyFont="1" applyFill="1" applyAlignment="1" applyProtection="1">
      <alignment vertical="center"/>
      <protection hidden="1"/>
    </xf>
    <xf numFmtId="165" fontId="8" fillId="2" borderId="0" xfId="0" applyFont="1" applyFill="1" applyAlignment="1" applyProtection="1">
      <alignment horizontal="right" vertical="center"/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/>
      <protection hidden="1"/>
    </xf>
    <xf numFmtId="165" fontId="0" fillId="0" borderId="0" xfId="0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178" fontId="16" fillId="0" borderId="0" xfId="0" applyNumberFormat="1" applyFont="1" applyAlignment="1" applyProtection="1">
      <alignment horizontal="center" vertical="center"/>
      <protection hidden="1"/>
    </xf>
    <xf numFmtId="37" fontId="16" fillId="0" borderId="0" xfId="0" applyNumberFormat="1" applyFont="1" applyAlignment="1" applyProtection="1">
      <alignment horizontal="center" vertical="center"/>
      <protection hidden="1"/>
    </xf>
    <xf numFmtId="174" fontId="16" fillId="0" borderId="0" xfId="0" applyNumberFormat="1" applyFont="1" applyAlignment="1" applyProtection="1">
      <alignment horizontal="center" vertical="center"/>
      <protection hidden="1"/>
    </xf>
    <xf numFmtId="178" fontId="16" fillId="0" borderId="0" xfId="0" quotePrefix="1" applyNumberFormat="1" applyFont="1" applyAlignment="1" applyProtection="1">
      <alignment horizontal="center" vertical="center"/>
      <protection hidden="1"/>
    </xf>
    <xf numFmtId="10" fontId="16" fillId="0" borderId="0" xfId="0" quotePrefix="1" applyNumberFormat="1" applyFont="1" applyAlignment="1" applyProtection="1">
      <alignment horizontal="center" vertical="center"/>
      <protection hidden="1"/>
    </xf>
    <xf numFmtId="176" fontId="16" fillId="0" borderId="0" xfId="0" applyNumberFormat="1" applyFont="1" applyAlignment="1" applyProtection="1">
      <alignment horizontal="center" vertical="center"/>
      <protection hidden="1"/>
    </xf>
    <xf numFmtId="10" fontId="16" fillId="0" borderId="0" xfId="0" applyNumberFormat="1" applyFont="1" applyAlignment="1" applyProtection="1">
      <alignment horizontal="center" vertical="center"/>
      <protection hidden="1"/>
    </xf>
    <xf numFmtId="175" fontId="16" fillId="0" borderId="0" xfId="0" applyNumberFormat="1" applyFont="1" applyAlignment="1" applyProtection="1">
      <alignment horizontal="center" vertical="center"/>
      <protection hidden="1"/>
    </xf>
    <xf numFmtId="165" fontId="16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180" fontId="16" fillId="0" borderId="0" xfId="0" applyNumberFormat="1" applyFont="1" applyAlignment="1" applyProtection="1">
      <alignment horizontal="center" vertical="center"/>
      <protection hidden="1"/>
    </xf>
    <xf numFmtId="2" fontId="16" fillId="0" borderId="0" xfId="0" applyNumberFormat="1" applyFont="1" applyAlignment="1" applyProtection="1">
      <alignment horizontal="center" vertical="center"/>
      <protection hidden="1"/>
    </xf>
    <xf numFmtId="1" fontId="16" fillId="0" borderId="0" xfId="0" applyNumberFormat="1" applyFont="1" applyAlignment="1" applyProtection="1">
      <alignment horizontal="center" vertical="center"/>
      <protection hidden="1"/>
    </xf>
    <xf numFmtId="10" fontId="16" fillId="0" borderId="0" xfId="0" quotePrefix="1" applyNumberFormat="1" applyFont="1" applyFill="1" applyAlignment="1" applyProtection="1">
      <alignment horizontal="center" vertical="center"/>
      <protection hidden="1"/>
    </xf>
    <xf numFmtId="178" fontId="16" fillId="0" borderId="0" xfId="0" applyNumberFormat="1" applyFont="1" applyFill="1" applyAlignment="1" applyProtection="1">
      <alignment horizontal="center" vertical="center"/>
      <protection hidden="1"/>
    </xf>
    <xf numFmtId="180" fontId="16" fillId="0" borderId="0" xfId="0" applyNumberFormat="1" applyFont="1" applyFill="1" applyAlignment="1" applyProtection="1">
      <alignment horizontal="center" vertical="center"/>
      <protection hidden="1"/>
    </xf>
    <xf numFmtId="1" fontId="16" fillId="0" borderId="0" xfId="0" applyNumberFormat="1" applyFont="1" applyFill="1" applyAlignment="1" applyProtection="1">
      <alignment horizontal="center" vertical="center"/>
      <protection hidden="1"/>
    </xf>
    <xf numFmtId="49" fontId="1" fillId="0" borderId="0" xfId="0" applyNumberFormat="1" applyFont="1" applyFill="1" applyAlignment="1" applyProtection="1">
      <alignment vertical="center"/>
      <protection hidden="1"/>
    </xf>
    <xf numFmtId="165" fontId="1" fillId="0" borderId="0" xfId="0" applyFont="1" applyFill="1" applyAlignment="1" applyProtection="1">
      <alignment vertical="center"/>
      <protection hidden="1"/>
    </xf>
    <xf numFmtId="10" fontId="16" fillId="0" borderId="0" xfId="0" applyNumberFormat="1" applyFont="1" applyFill="1" applyAlignment="1" applyProtection="1">
      <alignment horizontal="center" vertical="center"/>
      <protection hidden="1"/>
    </xf>
    <xf numFmtId="178" fontId="16" fillId="0" borderId="0" xfId="0" quotePrefix="1" applyNumberFormat="1" applyFont="1" applyFill="1" applyAlignment="1" applyProtection="1">
      <alignment horizontal="center" vertical="center"/>
      <protection hidden="1"/>
    </xf>
    <xf numFmtId="180" fontId="16" fillId="0" borderId="0" xfId="0" applyNumberFormat="1" applyFont="1" applyFill="1" applyAlignment="1" applyProtection="1">
      <alignment vertical="center"/>
      <protection hidden="1"/>
    </xf>
    <xf numFmtId="175" fontId="16" fillId="0" borderId="0" xfId="0" applyNumberFormat="1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Alignment="1" applyProtection="1">
      <alignment horizontal="center" vertical="center"/>
      <protection hidden="1"/>
    </xf>
    <xf numFmtId="165" fontId="16" fillId="0" borderId="0" xfId="0" applyFont="1" applyFill="1" applyAlignment="1" applyProtection="1">
      <alignment horizontal="center" vertical="center"/>
      <protection hidden="1"/>
    </xf>
    <xf numFmtId="165" fontId="7" fillId="2" borderId="0" xfId="0" applyFont="1" applyFill="1" applyBorder="1" applyAlignment="1" applyProtection="1">
      <alignment vertical="center"/>
      <protection hidden="1"/>
    </xf>
    <xf numFmtId="165" fontId="2" fillId="0" borderId="0" xfId="0" applyFont="1" applyBorder="1" applyAlignment="1" applyProtection="1">
      <alignment vertical="center"/>
      <protection hidden="1"/>
    </xf>
    <xf numFmtId="178" fontId="16" fillId="0" borderId="11" xfId="0" applyNumberFormat="1" applyFont="1" applyBorder="1" applyAlignment="1" applyProtection="1">
      <alignment horizontal="right" vertical="center"/>
      <protection hidden="1"/>
    </xf>
    <xf numFmtId="178" fontId="16" fillId="0" borderId="8" xfId="0" applyNumberFormat="1" applyFont="1" applyBorder="1" applyAlignment="1" applyProtection="1">
      <alignment horizontal="right" vertical="center"/>
      <protection hidden="1"/>
    </xf>
    <xf numFmtId="178" fontId="16" fillId="0" borderId="8" xfId="0" applyNumberFormat="1" applyFont="1" applyBorder="1" applyAlignment="1" applyProtection="1">
      <alignment horizontal="center" vertical="center"/>
      <protection hidden="1"/>
    </xf>
    <xf numFmtId="178" fontId="16" fillId="0" borderId="8" xfId="0" applyNumberFormat="1" applyFont="1" applyBorder="1" applyAlignment="1" applyProtection="1">
      <alignment horizontal="left" vertical="center"/>
      <protection hidden="1"/>
    </xf>
    <xf numFmtId="178" fontId="16" fillId="0" borderId="5" xfId="0" applyNumberFormat="1" applyFont="1" applyBorder="1" applyAlignment="1" applyProtection="1">
      <alignment horizontal="left" vertical="center"/>
      <protection hidden="1"/>
    </xf>
    <xf numFmtId="178" fontId="16" fillId="0" borderId="11" xfId="0" applyNumberFormat="1" applyFont="1" applyBorder="1" applyAlignment="1" applyProtection="1">
      <alignment horizontal="left" vertical="center"/>
      <protection hidden="1"/>
    </xf>
    <xf numFmtId="178" fontId="16" fillId="0" borderId="5" xfId="0" applyNumberFormat="1" applyFont="1" applyBorder="1" applyAlignment="1" applyProtection="1">
      <alignment horizontal="center" vertical="center"/>
      <protection hidden="1"/>
    </xf>
    <xf numFmtId="178" fontId="16" fillId="0" borderId="11" xfId="0" applyNumberFormat="1" applyFont="1" applyBorder="1" applyAlignment="1" applyProtection="1">
      <alignment horizontal="center" vertical="center"/>
      <protection hidden="1"/>
    </xf>
    <xf numFmtId="178" fontId="16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vertical="center"/>
      <protection hidden="1"/>
    </xf>
    <xf numFmtId="165" fontId="18" fillId="0" borderId="0" xfId="0" applyNumberFormat="1" applyFont="1" applyAlignment="1" applyProtection="1">
      <alignment vertical="center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165" fontId="19" fillId="0" borderId="1" xfId="0" applyNumberFormat="1" applyFont="1" applyBorder="1" applyAlignment="1" applyProtection="1">
      <alignment horizontal="center" vertical="center"/>
      <protection hidden="1"/>
    </xf>
    <xf numFmtId="165" fontId="20" fillId="0" borderId="1" xfId="0" applyNumberFormat="1" applyFont="1" applyBorder="1" applyAlignment="1" applyProtection="1">
      <alignment horizontal="right" vertical="center"/>
      <protection hidden="1"/>
    </xf>
    <xf numFmtId="49" fontId="17" fillId="5" borderId="11" xfId="0" applyNumberFormat="1" applyFont="1" applyFill="1" applyBorder="1" applyAlignment="1" applyProtection="1">
      <alignment horizontal="center" vertical="center"/>
      <protection locked="0"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right" vertical="center"/>
      <protection hidden="1"/>
    </xf>
    <xf numFmtId="165" fontId="17" fillId="0" borderId="0" xfId="0" applyFont="1" applyAlignment="1" applyProtection="1">
      <alignment horizontal="left" vertical="center"/>
      <protection hidden="1"/>
    </xf>
    <xf numFmtId="165" fontId="21" fillId="0" borderId="0" xfId="0" quotePrefix="1" applyFont="1" applyAlignment="1" applyProtection="1">
      <alignment horizontal="center" vertical="center"/>
      <protection hidden="1"/>
    </xf>
    <xf numFmtId="165" fontId="18" fillId="0" borderId="0" xfId="0" applyFont="1" applyAlignment="1" applyProtection="1">
      <alignment vertical="center"/>
      <protection hidden="1"/>
    </xf>
    <xf numFmtId="165" fontId="18" fillId="0" borderId="0" xfId="0" applyFont="1" applyAlignment="1" applyProtection="1">
      <alignment horizontal="center" vertical="center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165" fontId="17" fillId="0" borderId="0" xfId="0" applyFont="1" applyAlignment="1" applyProtection="1">
      <alignment horizontal="right" vertical="center"/>
      <protection hidden="1"/>
    </xf>
    <xf numFmtId="165" fontId="17" fillId="0" borderId="0" xfId="0" quotePrefix="1" applyFont="1" applyAlignment="1" applyProtection="1">
      <alignment horizontal="center" vertical="center"/>
      <protection hidden="1"/>
    </xf>
    <xf numFmtId="165" fontId="17" fillId="0" borderId="0" xfId="0" applyFont="1" applyAlignment="1" applyProtection="1">
      <alignment vertical="center"/>
      <protection hidden="1"/>
    </xf>
    <xf numFmtId="49" fontId="21" fillId="0" borderId="0" xfId="0" applyNumberFormat="1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left" vertical="center"/>
      <protection hidden="1"/>
    </xf>
    <xf numFmtId="165" fontId="17" fillId="0" borderId="0" xfId="0" applyFont="1" applyBorder="1" applyAlignment="1" applyProtection="1">
      <alignment horizontal="left" vertical="center"/>
      <protection hidden="1"/>
    </xf>
    <xf numFmtId="165" fontId="18" fillId="0" borderId="0" xfId="0" applyFont="1" applyAlignment="1" applyProtection="1">
      <alignment horizontal="right" vertical="center"/>
      <protection hidden="1"/>
    </xf>
    <xf numFmtId="165" fontId="22" fillId="0" borderId="0" xfId="0" applyFont="1" applyAlignment="1" applyProtection="1">
      <alignment vertical="center"/>
      <protection hidden="1"/>
    </xf>
    <xf numFmtId="39" fontId="18" fillId="0" borderId="0" xfId="0" applyNumberFormat="1" applyFont="1" applyAlignment="1" applyProtection="1">
      <alignment horizontal="right" vertical="center"/>
      <protection hidden="1"/>
    </xf>
    <xf numFmtId="1" fontId="18" fillId="0" borderId="0" xfId="0" applyNumberFormat="1" applyFont="1" applyAlignment="1" applyProtection="1">
      <alignment horizontal="center" vertical="center"/>
      <protection hidden="1"/>
    </xf>
    <xf numFmtId="39" fontId="17" fillId="0" borderId="0" xfId="0" applyNumberFormat="1" applyFont="1" applyBorder="1" applyAlignment="1" applyProtection="1">
      <alignment horizontal="center" vertical="center"/>
      <protection hidden="1"/>
    </xf>
    <xf numFmtId="39" fontId="23" fillId="0" borderId="0" xfId="0" quotePrefix="1" applyNumberFormat="1" applyFont="1" applyAlignment="1" applyProtection="1">
      <alignment horizontal="center" vertical="center"/>
      <protection hidden="1"/>
    </xf>
    <xf numFmtId="165" fontId="18" fillId="0" borderId="6" xfId="0" applyFont="1" applyBorder="1" applyAlignment="1" applyProtection="1">
      <alignment vertical="center"/>
      <protection hidden="1"/>
    </xf>
    <xf numFmtId="165" fontId="20" fillId="0" borderId="1" xfId="0" applyFont="1" applyBorder="1" applyAlignment="1" applyProtection="1">
      <alignment horizontal="left" vertical="center"/>
      <protection hidden="1"/>
    </xf>
    <xf numFmtId="165" fontId="20" fillId="0" borderId="1" xfId="0" applyFont="1" applyBorder="1" applyAlignment="1" applyProtection="1">
      <alignment horizontal="center" vertical="center"/>
      <protection hidden="1"/>
    </xf>
    <xf numFmtId="165" fontId="20" fillId="0" borderId="3" xfId="0" applyFont="1" applyBorder="1" applyAlignment="1" applyProtection="1">
      <alignment horizontal="center" vertical="center"/>
      <protection hidden="1"/>
    </xf>
    <xf numFmtId="165" fontId="20" fillId="0" borderId="35" xfId="0" applyFont="1" applyBorder="1" applyAlignment="1" applyProtection="1">
      <alignment horizontal="center" vertical="center"/>
      <protection hidden="1"/>
    </xf>
    <xf numFmtId="165" fontId="20" fillId="0" borderId="31" xfId="0" applyFont="1" applyBorder="1" applyAlignment="1" applyProtection="1">
      <alignment horizontal="center" vertical="center"/>
      <protection hidden="1"/>
    </xf>
    <xf numFmtId="165" fontId="20" fillId="0" borderId="0" xfId="0" applyFont="1" applyAlignment="1" applyProtection="1">
      <alignment horizontal="left" vertical="center"/>
      <protection hidden="1"/>
    </xf>
    <xf numFmtId="165" fontId="20" fillId="0" borderId="0" xfId="0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horizontal="center" vertical="center"/>
      <protection hidden="1"/>
    </xf>
    <xf numFmtId="185" fontId="16" fillId="0" borderId="0" xfId="0" applyNumberFormat="1" applyFont="1" applyAlignment="1" applyProtection="1">
      <alignment horizontal="center" vertical="center"/>
      <protection hidden="1"/>
    </xf>
    <xf numFmtId="49" fontId="20" fillId="0" borderId="0" xfId="0" quotePrefix="1" applyNumberFormat="1" applyFont="1" applyAlignment="1" applyProtection="1">
      <alignment horizontal="center" vertical="center"/>
      <protection hidden="1"/>
    </xf>
    <xf numFmtId="185" fontId="20" fillId="0" borderId="0" xfId="0" applyNumberFormat="1" applyFont="1" applyAlignment="1" applyProtection="1">
      <alignment horizontal="center" vertical="center"/>
      <protection hidden="1"/>
    </xf>
    <xf numFmtId="49" fontId="16" fillId="0" borderId="0" xfId="0" applyNumberFormat="1" applyFont="1" applyAlignment="1" applyProtection="1">
      <alignment vertical="center"/>
      <protection hidden="1"/>
    </xf>
    <xf numFmtId="37" fontId="19" fillId="0" borderId="0" xfId="0" quotePrefix="1" applyNumberFormat="1" applyFont="1" applyAlignment="1" applyProtection="1">
      <alignment horizontal="left" vertical="center"/>
      <protection hidden="1"/>
    </xf>
    <xf numFmtId="1" fontId="22" fillId="0" borderId="0" xfId="0" applyNumberFormat="1" applyFont="1" applyAlignment="1" applyProtection="1">
      <alignment horizontal="center" vertical="center"/>
      <protection hidden="1"/>
    </xf>
    <xf numFmtId="165" fontId="20" fillId="0" borderId="0" xfId="0" applyNumberFormat="1" applyFont="1" applyAlignment="1" applyProtection="1">
      <alignment horizontal="left" vertical="center"/>
      <protection hidden="1"/>
    </xf>
    <xf numFmtId="49" fontId="19" fillId="0" borderId="0" xfId="0" applyNumberFormat="1" applyFont="1" applyAlignment="1" applyProtection="1">
      <alignment horizontal="center" vertical="center"/>
      <protection hidden="1"/>
    </xf>
    <xf numFmtId="165" fontId="19" fillId="0" borderId="0" xfId="0" applyFont="1" applyAlignment="1" applyProtection="1">
      <alignment horizontal="left" vertical="center"/>
      <protection hidden="1"/>
    </xf>
    <xf numFmtId="1" fontId="24" fillId="0" borderId="0" xfId="0" applyNumberFormat="1" applyFont="1" applyAlignment="1" applyProtection="1">
      <alignment horizontal="center" vertical="center"/>
      <protection hidden="1"/>
    </xf>
    <xf numFmtId="165" fontId="24" fillId="0" borderId="0" xfId="0" applyFont="1" applyAlignment="1" applyProtection="1">
      <alignment horizontal="left" vertical="center"/>
      <protection hidden="1"/>
    </xf>
    <xf numFmtId="165" fontId="22" fillId="0" borderId="0" xfId="0" applyFont="1" applyFill="1" applyBorder="1" applyAlignment="1" applyProtection="1">
      <alignment horizontal="left" vertical="center"/>
      <protection hidden="1"/>
    </xf>
    <xf numFmtId="165" fontId="22" fillId="0" borderId="0" xfId="0" applyFont="1" applyFill="1" applyBorder="1" applyAlignment="1" applyProtection="1">
      <alignment horizontal="right"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165" fontId="17" fillId="5" borderId="1" xfId="0" applyFont="1" applyFill="1" applyBorder="1" applyAlignment="1" applyProtection="1">
      <alignment horizontal="center" vertical="center"/>
      <protection locked="0" hidden="1"/>
    </xf>
    <xf numFmtId="1" fontId="22" fillId="0" borderId="0" xfId="0" quotePrefix="1" applyNumberFormat="1" applyFont="1" applyAlignment="1" applyProtection="1">
      <alignment horizontal="center" vertical="center"/>
      <protection hidden="1"/>
    </xf>
    <xf numFmtId="178" fontId="19" fillId="0" borderId="0" xfId="0" applyNumberFormat="1" applyFont="1" applyAlignment="1" applyProtection="1">
      <alignment horizontal="left" vertical="center"/>
      <protection hidden="1"/>
    </xf>
    <xf numFmtId="178" fontId="25" fillId="0" borderId="0" xfId="0" applyNumberFormat="1" applyFont="1" applyAlignment="1" applyProtection="1">
      <alignment vertical="center"/>
      <protection hidden="1"/>
    </xf>
    <xf numFmtId="178" fontId="24" fillId="0" borderId="0" xfId="0" applyNumberFormat="1" applyFont="1" applyAlignment="1" applyProtection="1">
      <alignment horizontal="center" vertical="center"/>
      <protection hidden="1"/>
    </xf>
    <xf numFmtId="178" fontId="24" fillId="0" borderId="0" xfId="0" applyNumberFormat="1" applyFont="1" applyAlignment="1" applyProtection="1">
      <alignment vertical="center"/>
      <protection hidden="1"/>
    </xf>
    <xf numFmtId="178" fontId="19" fillId="0" borderId="0" xfId="0" applyNumberFormat="1" applyFont="1" applyAlignment="1" applyProtection="1">
      <alignment horizontal="right" vertical="center"/>
      <protection hidden="1"/>
    </xf>
    <xf numFmtId="178" fontId="19" fillId="0" borderId="0" xfId="0" applyNumberFormat="1" applyFont="1" applyAlignment="1" applyProtection="1">
      <alignment horizontal="center" vertical="center"/>
      <protection hidden="1"/>
    </xf>
    <xf numFmtId="49" fontId="22" fillId="0" borderId="0" xfId="0" applyNumberFormat="1" applyFont="1" applyFill="1" applyBorder="1" applyAlignment="1" applyProtection="1">
      <alignment horizontal="left" vertical="center"/>
      <protection hidden="1"/>
    </xf>
    <xf numFmtId="49" fontId="18" fillId="0" borderId="0" xfId="0" applyNumberFormat="1" applyFont="1" applyFill="1" applyBorder="1" applyAlignment="1" applyProtection="1">
      <alignment vertical="center"/>
      <protection hidden="1"/>
    </xf>
    <xf numFmtId="165" fontId="26" fillId="0" borderId="0" xfId="0" applyFont="1" applyFill="1" applyBorder="1" applyAlignment="1" applyProtection="1">
      <alignment vertical="center"/>
      <protection hidden="1"/>
    </xf>
    <xf numFmtId="165" fontId="26" fillId="0" borderId="0" xfId="0" applyFont="1" applyAlignment="1" applyProtection="1">
      <alignment vertical="center"/>
      <protection hidden="1"/>
    </xf>
    <xf numFmtId="1" fontId="22" fillId="0" borderId="0" xfId="0" applyNumberFormat="1" applyFont="1" applyAlignment="1" applyProtection="1">
      <alignment horizontal="right" vertical="center"/>
      <protection hidden="1"/>
    </xf>
    <xf numFmtId="14" fontId="17" fillId="5" borderId="1" xfId="0" applyNumberFormat="1" applyFont="1" applyFill="1" applyBorder="1" applyAlignment="1" applyProtection="1">
      <alignment horizontal="center" vertical="center"/>
      <protection locked="0" hidden="1"/>
    </xf>
    <xf numFmtId="185" fontId="17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7" fillId="5" borderId="1" xfId="0" applyNumberFormat="1" applyFont="1" applyFill="1" applyBorder="1" applyAlignment="1" applyProtection="1">
      <alignment horizontal="center" vertical="center"/>
      <protection locked="0" hidden="1"/>
    </xf>
    <xf numFmtId="170" fontId="17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7" fillId="5" borderId="3" xfId="0" applyNumberFormat="1" applyFont="1" applyFill="1" applyBorder="1" applyAlignment="1" applyProtection="1">
      <alignment horizontal="center" vertical="center"/>
      <protection locked="0" hidden="1"/>
    </xf>
    <xf numFmtId="49" fontId="19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17" fillId="5" borderId="41" xfId="0" applyFont="1" applyFill="1" applyBorder="1" applyAlignment="1" applyProtection="1">
      <alignment horizontal="center" vertical="center"/>
      <protection locked="0" hidden="1"/>
    </xf>
    <xf numFmtId="186" fontId="16" fillId="0" borderId="0" xfId="0" applyNumberFormat="1" applyFont="1" applyAlignment="1" applyProtection="1">
      <alignment vertical="center"/>
      <protection hidden="1"/>
    </xf>
    <xf numFmtId="49" fontId="16" fillId="0" borderId="0" xfId="0" applyNumberFormat="1" applyFont="1" applyAlignment="1" applyProtection="1">
      <alignment horizontal="left" vertical="center"/>
      <protection hidden="1"/>
    </xf>
    <xf numFmtId="165" fontId="20" fillId="0" borderId="0" xfId="0" applyFont="1" applyAlignment="1" applyProtection="1">
      <alignment vertical="center"/>
      <protection hidden="1"/>
    </xf>
    <xf numFmtId="0" fontId="16" fillId="0" borderId="0" xfId="0" applyNumberFormat="1" applyFont="1" applyAlignment="1" applyProtection="1">
      <alignment horizontal="center" vertical="center"/>
      <protection hidden="1"/>
    </xf>
    <xf numFmtId="37" fontId="24" fillId="0" borderId="0" xfId="0" quotePrefix="1" applyNumberFormat="1" applyFont="1" applyAlignment="1" applyProtection="1">
      <alignment horizontal="left" vertical="center"/>
      <protection hidden="1"/>
    </xf>
    <xf numFmtId="49" fontId="24" fillId="0" borderId="0" xfId="0" applyNumberFormat="1" applyFont="1" applyAlignment="1" applyProtection="1">
      <alignment horizontal="center" vertical="center"/>
      <protection hidden="1"/>
    </xf>
    <xf numFmtId="183" fontId="27" fillId="0" borderId="0" xfId="0" applyNumberFormat="1" applyFont="1" applyAlignment="1" applyProtection="1">
      <alignment vertical="center"/>
      <protection hidden="1"/>
    </xf>
    <xf numFmtId="1" fontId="20" fillId="0" borderId="0" xfId="0" applyNumberFormat="1" applyFont="1" applyAlignment="1" applyProtection="1">
      <alignment vertical="center"/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165" fontId="17" fillId="0" borderId="0" xfId="0" applyFont="1" applyAlignment="1" applyProtection="1">
      <alignment horizontal="center" vertical="center"/>
      <protection hidden="1"/>
    </xf>
    <xf numFmtId="165" fontId="19" fillId="0" borderId="0" xfId="0" applyFont="1" applyAlignment="1" applyProtection="1">
      <alignment horizontal="center" vertical="center"/>
      <protection hidden="1"/>
    </xf>
    <xf numFmtId="49" fontId="17" fillId="0" borderId="1" xfId="0" applyNumberFormat="1" applyFont="1" applyFill="1" applyBorder="1" applyAlignment="1" applyProtection="1">
      <alignment horizontal="center" vertical="center"/>
      <protection hidden="1"/>
    </xf>
    <xf numFmtId="49" fontId="17" fillId="0" borderId="3" xfId="0" applyNumberFormat="1" applyFont="1" applyFill="1" applyBorder="1" applyAlignment="1" applyProtection="1">
      <alignment horizontal="center" vertical="center"/>
      <protection hidden="1"/>
    </xf>
    <xf numFmtId="49" fontId="20" fillId="0" borderId="15" xfId="0" applyNumberFormat="1" applyFont="1" applyBorder="1" applyAlignment="1" applyProtection="1">
      <alignment vertical="center"/>
      <protection hidden="1"/>
    </xf>
    <xf numFmtId="165" fontId="22" fillId="0" borderId="31" xfId="0" applyFont="1" applyBorder="1" applyAlignment="1" applyProtection="1">
      <alignment vertical="center"/>
      <protection hidden="1"/>
    </xf>
    <xf numFmtId="178" fontId="16" fillId="0" borderId="0" xfId="0" applyNumberFormat="1" applyFont="1" applyAlignment="1" applyProtection="1">
      <alignment horizontal="left" vertical="center"/>
      <protection hidden="1"/>
    </xf>
    <xf numFmtId="39" fontId="16" fillId="0" borderId="0" xfId="0" applyNumberFormat="1" applyFont="1" applyAlignment="1" applyProtection="1">
      <alignment horizontal="right" vertical="center"/>
      <protection hidden="1"/>
    </xf>
    <xf numFmtId="166" fontId="27" fillId="0" borderId="0" xfId="0" applyNumberFormat="1" applyFont="1" applyAlignment="1" applyProtection="1">
      <alignment vertical="center"/>
      <protection hidden="1"/>
    </xf>
    <xf numFmtId="165" fontId="19" fillId="0" borderId="2" xfId="0" applyFont="1" applyBorder="1" applyAlignment="1" applyProtection="1">
      <alignment horizontal="left" vertical="center"/>
      <protection hidden="1"/>
    </xf>
    <xf numFmtId="49" fontId="19" fillId="0" borderId="2" xfId="0" applyNumberFormat="1" applyFont="1" applyBorder="1" applyAlignment="1" applyProtection="1">
      <alignment horizontal="center" vertical="center"/>
      <protection hidden="1"/>
    </xf>
    <xf numFmtId="1" fontId="24" fillId="0" borderId="2" xfId="0" applyNumberFormat="1" applyFont="1" applyBorder="1" applyAlignment="1" applyProtection="1">
      <alignment horizontal="left" vertical="center"/>
      <protection hidden="1"/>
    </xf>
    <xf numFmtId="1" fontId="28" fillId="0" borderId="2" xfId="0" applyNumberFormat="1" applyFont="1" applyBorder="1" applyAlignment="1" applyProtection="1">
      <alignment horizontal="left" vertical="center"/>
      <protection hidden="1"/>
    </xf>
    <xf numFmtId="165" fontId="24" fillId="0" borderId="0" xfId="0" applyFont="1" applyAlignment="1" applyProtection="1">
      <alignment horizontal="center" vertical="center"/>
      <protection hidden="1"/>
    </xf>
    <xf numFmtId="1" fontId="24" fillId="0" borderId="0" xfId="0" applyNumberFormat="1" applyFont="1" applyBorder="1" applyAlignment="1" applyProtection="1">
      <alignment horizontal="center" vertical="center"/>
      <protection hidden="1"/>
    </xf>
    <xf numFmtId="165" fontId="24" fillId="0" borderId="2" xfId="0" applyFont="1" applyBorder="1" applyAlignment="1" applyProtection="1">
      <alignment horizontal="center" vertical="center"/>
      <protection hidden="1"/>
    </xf>
    <xf numFmtId="165" fontId="19" fillId="0" borderId="0" xfId="0" applyFont="1" applyBorder="1" applyAlignment="1" applyProtection="1">
      <alignment vertical="center"/>
      <protection hidden="1"/>
    </xf>
    <xf numFmtId="14" fontId="28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28" fillId="5" borderId="1" xfId="0" applyNumberFormat="1" applyFont="1" applyFill="1" applyBorder="1" applyAlignment="1" applyProtection="1">
      <alignment vertical="center"/>
      <protection locked="0"/>
    </xf>
    <xf numFmtId="39" fontId="28" fillId="5" borderId="1" xfId="0" applyNumberFormat="1" applyFont="1" applyFill="1" applyBorder="1" applyAlignment="1" applyProtection="1">
      <alignment vertical="center"/>
      <protection locked="0" hidden="1"/>
    </xf>
    <xf numFmtId="39" fontId="27" fillId="0" borderId="0" xfId="0" applyNumberFormat="1" applyFont="1" applyAlignment="1" applyProtection="1">
      <alignment vertical="center"/>
      <protection hidden="1"/>
    </xf>
    <xf numFmtId="10" fontId="27" fillId="0" borderId="0" xfId="0" applyNumberFormat="1" applyFont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65" fontId="16" fillId="0" borderId="0" xfId="0" applyFont="1" applyAlignment="1" applyProtection="1">
      <alignment horizontal="left" vertical="center"/>
      <protection hidden="1"/>
    </xf>
    <xf numFmtId="37" fontId="27" fillId="0" borderId="0" xfId="0" applyNumberFormat="1" applyFont="1" applyAlignment="1" applyProtection="1">
      <alignment horizontal="right" vertical="center"/>
      <protection hidden="1"/>
    </xf>
    <xf numFmtId="49" fontId="17" fillId="0" borderId="0" xfId="0" applyNumberFormat="1" applyFont="1" applyFill="1" applyAlignment="1" applyProtection="1">
      <alignment vertical="center"/>
      <protection hidden="1"/>
    </xf>
    <xf numFmtId="49" fontId="18" fillId="0" borderId="0" xfId="0" applyNumberFormat="1" applyFont="1" applyFill="1" applyAlignment="1" applyProtection="1">
      <alignment vertical="center"/>
      <protection hidden="1"/>
    </xf>
    <xf numFmtId="39" fontId="19" fillId="0" borderId="0" xfId="0" applyNumberFormat="1" applyFont="1" applyFill="1" applyAlignment="1" applyProtection="1">
      <alignment horizontal="center" vertical="center"/>
      <protection hidden="1"/>
    </xf>
    <xf numFmtId="1" fontId="22" fillId="0" borderId="0" xfId="0" applyNumberFormat="1" applyFont="1" applyFill="1" applyAlignment="1" applyProtection="1">
      <alignment horizontal="center" vertical="center"/>
      <protection hidden="1"/>
    </xf>
    <xf numFmtId="49" fontId="22" fillId="0" borderId="0" xfId="0" applyNumberFormat="1" applyFont="1" applyFill="1" applyAlignment="1" applyProtection="1">
      <alignment horizontal="center" vertical="center"/>
      <protection hidden="1"/>
    </xf>
    <xf numFmtId="165" fontId="18" fillId="0" borderId="0" xfId="0" applyFont="1" applyFill="1" applyAlignment="1" applyProtection="1">
      <alignment vertical="center"/>
      <protection hidden="1"/>
    </xf>
    <xf numFmtId="1" fontId="17" fillId="5" borderId="32" xfId="0" applyNumberFormat="1" applyFont="1" applyFill="1" applyBorder="1" applyAlignment="1" applyProtection="1">
      <alignment horizontal="center" vertical="center"/>
      <protection locked="0" hidden="1"/>
    </xf>
    <xf numFmtId="10" fontId="17" fillId="5" borderId="33" xfId="0" applyNumberFormat="1" applyFont="1" applyFill="1" applyBorder="1" applyAlignment="1" applyProtection="1">
      <alignment horizontal="center" vertical="center"/>
      <protection locked="0" hidden="1"/>
    </xf>
    <xf numFmtId="170" fontId="16" fillId="0" borderId="0" xfId="0" applyNumberFormat="1" applyFont="1" applyAlignment="1" applyProtection="1">
      <alignment horizontal="center" vertical="center"/>
      <protection hidden="1"/>
    </xf>
    <xf numFmtId="39" fontId="16" fillId="0" borderId="0" xfId="0" applyNumberFormat="1" applyFont="1" applyAlignment="1" applyProtection="1">
      <alignment vertical="center"/>
      <protection hidden="1"/>
    </xf>
    <xf numFmtId="11" fontId="20" fillId="0" borderId="0" xfId="0" applyNumberFormat="1" applyFont="1" applyBorder="1" applyAlignment="1" applyProtection="1">
      <alignment horizontal="left" vertical="center"/>
      <protection hidden="1"/>
    </xf>
    <xf numFmtId="165" fontId="20" fillId="0" borderId="0" xfId="0" applyFont="1" applyBorder="1" applyAlignment="1" applyProtection="1">
      <alignment horizontal="center" vertical="center"/>
      <protection hidden="1"/>
    </xf>
    <xf numFmtId="166" fontId="16" fillId="0" borderId="9" xfId="0" applyNumberFormat="1" applyFont="1" applyBorder="1" applyAlignment="1" applyProtection="1">
      <alignment vertical="center"/>
      <protection hidden="1"/>
    </xf>
    <xf numFmtId="178" fontId="20" fillId="0" borderId="0" xfId="0" applyNumberFormat="1" applyFont="1" applyFill="1" applyBorder="1" applyAlignment="1" applyProtection="1">
      <alignment horizontal="center" vertical="center"/>
      <protection hidden="1"/>
    </xf>
    <xf numFmtId="1" fontId="24" fillId="0" borderId="9" xfId="0" applyNumberFormat="1" applyFont="1" applyBorder="1" applyAlignment="1" applyProtection="1">
      <alignment horizontal="center" vertical="center"/>
      <protection hidden="1"/>
    </xf>
    <xf numFmtId="49" fontId="24" fillId="0" borderId="10" xfId="0" applyNumberFormat="1" applyFont="1" applyBorder="1" applyAlignment="1" applyProtection="1">
      <alignment horizontal="center" vertical="center"/>
      <protection hidden="1"/>
    </xf>
    <xf numFmtId="166" fontId="27" fillId="0" borderId="10" xfId="0" applyNumberFormat="1" applyFont="1" applyBorder="1" applyAlignment="1" applyProtection="1">
      <alignment horizontal="right" vertical="center"/>
      <protection hidden="1"/>
    </xf>
    <xf numFmtId="165" fontId="19" fillId="0" borderId="0" xfId="0" applyFont="1" applyBorder="1" applyAlignment="1" applyProtection="1">
      <alignment horizontal="left" vertical="center"/>
      <protection hidden="1"/>
    </xf>
    <xf numFmtId="39" fontId="19" fillId="0" borderId="0" xfId="0" applyNumberFormat="1" applyFont="1" applyFill="1" applyAlignment="1" applyProtection="1">
      <alignment horizontal="left" vertical="center"/>
      <protection hidden="1"/>
    </xf>
    <xf numFmtId="39" fontId="28" fillId="0" borderId="0" xfId="0" applyNumberFormat="1" applyFont="1" applyFill="1" applyAlignment="1" applyProtection="1">
      <alignment horizontal="left" vertical="center"/>
      <protection hidden="1"/>
    </xf>
    <xf numFmtId="1" fontId="24" fillId="0" borderId="0" xfId="0" applyNumberFormat="1" applyFont="1" applyFill="1" applyAlignment="1" applyProtection="1">
      <alignment horizontal="center" vertical="center"/>
      <protection hidden="1"/>
    </xf>
    <xf numFmtId="184" fontId="18" fillId="5" borderId="1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0" xfId="0" applyNumberFormat="1" applyFont="1" applyFill="1" applyAlignment="1" applyProtection="1">
      <alignment horizontal="center" vertical="center"/>
      <protection hidden="1"/>
    </xf>
    <xf numFmtId="1" fontId="29" fillId="0" borderId="0" xfId="0" applyNumberFormat="1" applyFont="1" applyFill="1" applyBorder="1" applyAlignment="1" applyProtection="1">
      <alignment horizontal="center" vertical="center"/>
      <protection hidden="1"/>
    </xf>
    <xf numFmtId="182" fontId="18" fillId="5" borderId="1" xfId="0" applyNumberFormat="1" applyFont="1" applyFill="1" applyBorder="1" applyAlignment="1" applyProtection="1">
      <alignment horizontal="center" vertical="center"/>
      <protection locked="0"/>
    </xf>
    <xf numFmtId="165" fontId="17" fillId="5" borderId="32" xfId="0" applyFont="1" applyFill="1" applyBorder="1" applyAlignment="1" applyProtection="1">
      <alignment horizontal="center" vertical="center"/>
      <protection locked="0" hidden="1"/>
    </xf>
    <xf numFmtId="165" fontId="20" fillId="0" borderId="33" xfId="0" applyFont="1" applyBorder="1" applyAlignment="1" applyProtection="1">
      <alignment horizontal="center" vertical="center"/>
      <protection hidden="1"/>
    </xf>
    <xf numFmtId="183" fontId="16" fillId="0" borderId="2" xfId="0" applyNumberFormat="1" applyFont="1" applyBorder="1" applyAlignment="1" applyProtection="1">
      <alignment horizontal="center" vertical="center"/>
      <protection hidden="1"/>
    </xf>
    <xf numFmtId="183" fontId="27" fillId="0" borderId="2" xfId="0" applyNumberFormat="1" applyFont="1" applyBorder="1" applyAlignment="1" applyProtection="1">
      <alignment horizontal="center" vertical="center"/>
      <protection hidden="1"/>
    </xf>
    <xf numFmtId="177" fontId="16" fillId="0" borderId="0" xfId="0" applyNumberFormat="1" applyFont="1" applyAlignment="1" applyProtection="1">
      <alignment vertical="center"/>
      <protection hidden="1"/>
    </xf>
    <xf numFmtId="165" fontId="20" fillId="0" borderId="2" xfId="0" applyFont="1" applyBorder="1" applyAlignment="1" applyProtection="1">
      <alignment horizontal="left" vertical="center"/>
      <protection hidden="1"/>
    </xf>
    <xf numFmtId="165" fontId="20" fillId="0" borderId="2" xfId="0" applyFont="1" applyBorder="1" applyAlignment="1" applyProtection="1">
      <alignment horizontal="center" vertical="center"/>
      <protection hidden="1"/>
    </xf>
    <xf numFmtId="166" fontId="16" fillId="0" borderId="2" xfId="0" applyNumberFormat="1" applyFont="1" applyBorder="1" applyAlignment="1" applyProtection="1">
      <alignment vertical="center"/>
      <protection hidden="1"/>
    </xf>
    <xf numFmtId="1" fontId="20" fillId="0" borderId="2" xfId="0" applyNumberFormat="1" applyFont="1" applyBorder="1" applyAlignment="1" applyProtection="1">
      <alignment horizontal="center" vertical="center"/>
      <protection hidden="1"/>
    </xf>
    <xf numFmtId="166" fontId="16" fillId="0" borderId="7" xfId="0" applyNumberFormat="1" applyFont="1" applyBorder="1" applyAlignment="1" applyProtection="1">
      <alignment horizontal="right" vertical="center"/>
      <protection hidden="1"/>
    </xf>
    <xf numFmtId="166" fontId="27" fillId="2" borderId="3" xfId="0" applyNumberFormat="1" applyFont="1" applyFill="1" applyBorder="1" applyAlignment="1" applyProtection="1">
      <alignment horizontal="right" vertical="center"/>
      <protection hidden="1"/>
    </xf>
    <xf numFmtId="166" fontId="27" fillId="2" borderId="10" xfId="0" applyNumberFormat="1" applyFont="1" applyFill="1" applyBorder="1" applyAlignment="1" applyProtection="1">
      <alignment horizontal="right" vertical="center"/>
      <protection hidden="1"/>
    </xf>
    <xf numFmtId="166" fontId="27" fillId="2" borderId="47" xfId="0" applyNumberFormat="1" applyFont="1" applyFill="1" applyBorder="1" applyAlignment="1" applyProtection="1">
      <alignment horizontal="right" vertical="center"/>
      <protection hidden="1"/>
    </xf>
    <xf numFmtId="39" fontId="28" fillId="0" borderId="0" xfId="0" applyNumberFormat="1" applyFont="1" applyFill="1" applyAlignment="1" applyProtection="1">
      <alignment horizontal="right" vertical="center"/>
      <protection hidden="1"/>
    </xf>
    <xf numFmtId="170" fontId="18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18" fillId="0" borderId="0" xfId="0" applyNumberFormat="1" applyFont="1" applyFill="1" applyBorder="1" applyAlignment="1" applyProtection="1">
      <alignment vertical="center"/>
      <protection hidden="1"/>
    </xf>
    <xf numFmtId="164" fontId="18" fillId="5" borderId="1" xfId="0" applyNumberFormat="1" applyFont="1" applyFill="1" applyBorder="1" applyAlignment="1" applyProtection="1">
      <alignment horizontal="center" vertical="center"/>
      <protection locked="0"/>
    </xf>
    <xf numFmtId="1" fontId="19" fillId="5" borderId="42" xfId="0" applyNumberFormat="1" applyFont="1" applyFill="1" applyBorder="1" applyAlignment="1" applyProtection="1">
      <alignment horizontal="center" vertical="center"/>
      <protection locked="0" hidden="1"/>
    </xf>
    <xf numFmtId="165" fontId="20" fillId="0" borderId="43" xfId="0" applyFont="1" applyBorder="1" applyAlignment="1" applyProtection="1">
      <alignment horizontal="center" vertical="center"/>
      <protection hidden="1"/>
    </xf>
    <xf numFmtId="165" fontId="22" fillId="4" borderId="3" xfId="0" applyFont="1" applyFill="1" applyBorder="1" applyAlignment="1" applyProtection="1">
      <alignment horizontal="right" vertical="center"/>
      <protection hidden="1"/>
    </xf>
    <xf numFmtId="165" fontId="19" fillId="5" borderId="1" xfId="0" applyFont="1" applyFill="1" applyBorder="1" applyAlignment="1" applyProtection="1">
      <alignment horizontal="center" vertical="center"/>
      <protection locked="0" hidden="1"/>
    </xf>
    <xf numFmtId="165" fontId="24" fillId="4" borderId="4" xfId="0" applyFont="1" applyFill="1" applyBorder="1" applyAlignment="1" applyProtection="1">
      <alignment horizontal="center" vertical="center"/>
      <protection hidden="1"/>
    </xf>
    <xf numFmtId="165" fontId="24" fillId="0" borderId="0" xfId="0" applyFont="1" applyAlignment="1" applyProtection="1">
      <alignment vertical="center"/>
      <protection hidden="1"/>
    </xf>
    <xf numFmtId="181" fontId="27" fillId="0" borderId="0" xfId="0" applyNumberFormat="1" applyFont="1" applyAlignment="1" applyProtection="1">
      <alignment vertical="center"/>
      <protection hidden="1"/>
    </xf>
    <xf numFmtId="165" fontId="20" fillId="0" borderId="0" xfId="0" applyFont="1" applyBorder="1" applyAlignment="1" applyProtection="1">
      <alignment horizontal="left" vertical="center"/>
      <protection hidden="1"/>
    </xf>
    <xf numFmtId="49" fontId="24" fillId="0" borderId="0" xfId="0" applyNumberFormat="1" applyFont="1" applyBorder="1" applyAlignment="1" applyProtection="1">
      <alignment horizontal="center" vertical="center"/>
      <protection hidden="1"/>
    </xf>
    <xf numFmtId="166" fontId="27" fillId="0" borderId="0" xfId="0" applyNumberFormat="1" applyFont="1" applyBorder="1" applyAlignment="1" applyProtection="1">
      <alignment horizontal="right" vertical="center"/>
      <protection hidden="1"/>
    </xf>
    <xf numFmtId="10" fontId="18" fillId="5" borderId="1" xfId="0" applyNumberFormat="1" applyFont="1" applyFill="1" applyBorder="1" applyAlignment="1" applyProtection="1">
      <alignment horizontal="center" vertical="center"/>
      <protection locked="0"/>
    </xf>
    <xf numFmtId="10" fontId="20" fillId="0" borderId="45" xfId="0" applyNumberFormat="1" applyFont="1" applyBorder="1" applyAlignment="1" applyProtection="1">
      <alignment horizontal="center" vertical="center"/>
      <protection hidden="1"/>
    </xf>
    <xf numFmtId="10" fontId="20" fillId="0" borderId="46" xfId="0" applyNumberFormat="1" applyFont="1" applyBorder="1" applyAlignment="1" applyProtection="1">
      <alignment horizontal="center" vertical="center"/>
      <protection hidden="1"/>
    </xf>
    <xf numFmtId="165" fontId="24" fillId="0" borderId="0" xfId="0" quotePrefix="1" applyFont="1" applyAlignment="1" applyProtection="1">
      <alignment horizontal="left" vertical="center"/>
      <protection hidden="1"/>
    </xf>
    <xf numFmtId="10" fontId="27" fillId="0" borderId="0" xfId="0" applyNumberFormat="1" applyFont="1" applyAlignment="1" applyProtection="1">
      <alignment vertical="center"/>
      <protection hidden="1"/>
    </xf>
    <xf numFmtId="165" fontId="30" fillId="0" borderId="0" xfId="0" applyFont="1" applyAlignment="1" applyProtection="1">
      <alignment horizontal="left" vertical="center"/>
      <protection hidden="1"/>
    </xf>
    <xf numFmtId="49" fontId="17" fillId="0" borderId="0" xfId="0" applyNumberFormat="1" applyFont="1" applyAlignment="1" applyProtection="1">
      <alignment horizontal="left" vertical="center"/>
      <protection hidden="1"/>
    </xf>
    <xf numFmtId="165" fontId="24" fillId="4" borderId="5" xfId="0" applyFont="1" applyFill="1" applyBorder="1" applyAlignment="1" applyProtection="1">
      <alignment horizontal="center" vertical="center"/>
      <protection hidden="1"/>
    </xf>
    <xf numFmtId="39" fontId="20" fillId="0" borderId="0" xfId="0" applyNumberFormat="1" applyFont="1" applyAlignment="1" applyProtection="1">
      <alignment vertical="center"/>
      <protection hidden="1"/>
    </xf>
    <xf numFmtId="166" fontId="16" fillId="0" borderId="0" xfId="0" applyNumberFormat="1" applyFont="1" applyBorder="1" applyAlignment="1" applyProtection="1">
      <alignment vertical="center"/>
      <protection hidden="1"/>
    </xf>
    <xf numFmtId="178" fontId="16" fillId="2" borderId="1" xfId="0" applyNumberFormat="1" applyFont="1" applyFill="1" applyBorder="1" applyAlignment="1" applyProtection="1">
      <alignment horizontal="center" vertical="center"/>
      <protection hidden="1"/>
    </xf>
    <xf numFmtId="39" fontId="31" fillId="0" borderId="0" xfId="0" applyNumberFormat="1" applyFont="1" applyAlignment="1" applyProtection="1">
      <alignment vertical="center"/>
      <protection hidden="1"/>
    </xf>
    <xf numFmtId="166" fontId="27" fillId="0" borderId="2" xfId="0" applyNumberFormat="1" applyFont="1" applyBorder="1" applyAlignment="1" applyProtection="1">
      <alignment horizontal="right" vertical="center"/>
      <protection hidden="1"/>
    </xf>
    <xf numFmtId="166" fontId="27" fillId="0" borderId="2" xfId="0" applyNumberFormat="1" applyFont="1" applyFill="1" applyBorder="1" applyAlignment="1" applyProtection="1">
      <alignment horizontal="right" vertical="center"/>
      <protection hidden="1"/>
    </xf>
    <xf numFmtId="165" fontId="22" fillId="0" borderId="0" xfId="0" applyFont="1" applyFill="1" applyAlignment="1" applyProtection="1">
      <alignment horizontal="center" vertical="center"/>
      <protection hidden="1"/>
    </xf>
    <xf numFmtId="10" fontId="17" fillId="5" borderId="36" xfId="0" applyNumberFormat="1" applyFont="1" applyFill="1" applyBorder="1" applyAlignment="1" applyProtection="1">
      <alignment horizontal="center" vertical="center"/>
      <protection locked="0" hidden="1"/>
    </xf>
    <xf numFmtId="10" fontId="17" fillId="5" borderId="37" xfId="0" applyNumberFormat="1" applyFont="1" applyFill="1" applyBorder="1" applyAlignment="1" applyProtection="1">
      <alignment horizontal="center" vertical="center"/>
      <protection locked="0" hidden="1"/>
    </xf>
    <xf numFmtId="10" fontId="16" fillId="0" borderId="0" xfId="0" applyNumberFormat="1" applyFont="1" applyAlignment="1" applyProtection="1">
      <alignment horizontal="right" vertical="center"/>
      <protection hidden="1"/>
    </xf>
    <xf numFmtId="1" fontId="20" fillId="0" borderId="10" xfId="0" applyNumberFormat="1" applyFont="1" applyBorder="1" applyAlignment="1" applyProtection="1">
      <alignment horizontal="center" vertical="center"/>
      <protection hidden="1"/>
    </xf>
    <xf numFmtId="1" fontId="22" fillId="0" borderId="0" xfId="0" applyNumberFormat="1" applyFont="1" applyFill="1" applyBorder="1" applyAlignment="1" applyProtection="1">
      <alignment horizontal="left" vertical="center"/>
      <protection hidden="1"/>
    </xf>
    <xf numFmtId="165" fontId="19" fillId="0" borderId="0" xfId="0" applyFont="1" applyAlignment="1" applyProtection="1">
      <alignment horizontal="right" vertical="center"/>
      <protection hidden="1"/>
    </xf>
    <xf numFmtId="39" fontId="24" fillId="0" borderId="0" xfId="0" applyNumberFormat="1" applyFont="1" applyAlignment="1" applyProtection="1">
      <alignment vertical="center"/>
      <protection hidden="1"/>
    </xf>
    <xf numFmtId="172" fontId="17" fillId="0" borderId="1" xfId="0" applyNumberFormat="1" applyFont="1" applyBorder="1" applyAlignment="1" applyProtection="1">
      <alignment horizontal="center" vertical="center"/>
      <protection hidden="1"/>
    </xf>
    <xf numFmtId="172" fontId="17" fillId="0" borderId="3" xfId="0" applyNumberFormat="1" applyFont="1" applyBorder="1" applyAlignment="1" applyProtection="1">
      <alignment horizontal="center" vertical="center"/>
      <protection hidden="1"/>
    </xf>
    <xf numFmtId="49" fontId="20" fillId="0" borderId="44" xfId="0" applyNumberFormat="1" applyFont="1" applyBorder="1" applyAlignment="1" applyProtection="1">
      <alignment horizontal="center" vertical="center"/>
      <protection hidden="1"/>
    </xf>
    <xf numFmtId="165" fontId="20" fillId="0" borderId="44" xfId="0" applyFont="1" applyBorder="1" applyAlignment="1" applyProtection="1">
      <alignment horizontal="center" vertical="center"/>
      <protection hidden="1"/>
    </xf>
    <xf numFmtId="10" fontId="16" fillId="0" borderId="0" xfId="0" applyNumberFormat="1" applyFont="1" applyFill="1" applyAlignment="1" applyProtection="1">
      <alignment vertical="center"/>
      <protection hidden="1"/>
    </xf>
    <xf numFmtId="165" fontId="32" fillId="0" borderId="0" xfId="0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vertical="center"/>
      <protection hidden="1"/>
    </xf>
    <xf numFmtId="165" fontId="22" fillId="0" borderId="0" xfId="0" applyFont="1" applyFill="1" applyAlignment="1" applyProtection="1">
      <alignment vertical="center"/>
      <protection hidden="1"/>
    </xf>
    <xf numFmtId="165" fontId="20" fillId="0" borderId="0" xfId="0" applyFont="1" applyFill="1" applyAlignment="1" applyProtection="1">
      <alignment horizontal="left" vertical="center"/>
      <protection hidden="1"/>
    </xf>
    <xf numFmtId="1" fontId="19" fillId="5" borderId="34" xfId="0" applyNumberFormat="1" applyFont="1" applyFill="1" applyBorder="1" applyAlignment="1" applyProtection="1">
      <alignment horizontal="center" vertical="center"/>
      <protection locked="0" hidden="1"/>
    </xf>
    <xf numFmtId="10" fontId="17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24" fillId="0" borderId="0" xfId="0" quotePrefix="1" applyFont="1" applyFill="1" applyAlignment="1" applyProtection="1">
      <alignment horizontal="left" vertical="center"/>
      <protection hidden="1"/>
    </xf>
    <xf numFmtId="165" fontId="24" fillId="0" borderId="0" xfId="0" applyFont="1" applyFill="1" applyAlignment="1" applyProtection="1">
      <alignment horizontal="center" vertical="center"/>
      <protection hidden="1"/>
    </xf>
    <xf numFmtId="10" fontId="27" fillId="0" borderId="0" xfId="0" applyNumberFormat="1" applyFont="1" applyFill="1" applyAlignment="1" applyProtection="1">
      <alignment vertical="center"/>
      <protection hidden="1"/>
    </xf>
    <xf numFmtId="165" fontId="30" fillId="0" borderId="0" xfId="0" applyFont="1" applyFill="1" applyAlignment="1" applyProtection="1">
      <alignment horizontal="left" vertical="center"/>
      <protection hidden="1"/>
    </xf>
    <xf numFmtId="165" fontId="17" fillId="0" borderId="0" xfId="0" applyFont="1" applyFill="1" applyAlignment="1" applyProtection="1">
      <alignment horizontal="left" vertical="center"/>
      <protection hidden="1"/>
    </xf>
    <xf numFmtId="39" fontId="16" fillId="0" borderId="0" xfId="0" applyNumberFormat="1" applyFont="1" applyFill="1" applyAlignment="1" applyProtection="1">
      <alignment vertical="center"/>
      <protection hidden="1"/>
    </xf>
    <xf numFmtId="167" fontId="20" fillId="0" borderId="0" xfId="0" applyNumberFormat="1" applyFont="1" applyFill="1" applyAlignment="1" applyProtection="1">
      <alignment horizontal="left" vertical="center"/>
      <protection hidden="1"/>
    </xf>
    <xf numFmtId="165" fontId="20" fillId="0" borderId="0" xfId="0" applyFont="1" applyFill="1" applyAlignment="1" applyProtection="1">
      <alignment horizontal="center" vertical="center"/>
      <protection hidden="1"/>
    </xf>
    <xf numFmtId="10" fontId="16" fillId="0" borderId="0" xfId="0" applyNumberFormat="1" applyFont="1" applyAlignment="1" applyProtection="1">
      <alignment vertical="center"/>
      <protection hidden="1"/>
    </xf>
    <xf numFmtId="165" fontId="32" fillId="0" borderId="0" xfId="0" applyFont="1" applyFill="1" applyAlignment="1" applyProtection="1">
      <alignment horizontal="center" vertical="center"/>
      <protection hidden="1"/>
    </xf>
    <xf numFmtId="165" fontId="20" fillId="0" borderId="2" xfId="0" applyFont="1" applyBorder="1" applyAlignment="1" applyProtection="1">
      <alignment vertical="center"/>
      <protection hidden="1"/>
    </xf>
    <xf numFmtId="165" fontId="19" fillId="0" borderId="0" xfId="0" applyFont="1" applyFill="1" applyBorder="1" applyAlignment="1" applyProtection="1">
      <alignment horizontal="left" vertical="center"/>
      <protection hidden="1"/>
    </xf>
    <xf numFmtId="39" fontId="27" fillId="0" borderId="0" xfId="0" applyNumberFormat="1" applyFont="1" applyFill="1" applyAlignment="1" applyProtection="1">
      <alignment vertical="center"/>
      <protection hidden="1"/>
    </xf>
    <xf numFmtId="10" fontId="27" fillId="0" borderId="0" xfId="0" applyNumberFormat="1" applyFont="1" applyFill="1" applyAlignment="1" applyProtection="1">
      <alignment horizontal="center" vertical="center"/>
      <protection hidden="1"/>
    </xf>
    <xf numFmtId="165" fontId="17" fillId="0" borderId="0" xfId="0" applyFont="1" applyFill="1" applyBorder="1" applyAlignment="1" applyProtection="1">
      <alignment vertical="center"/>
      <protection hidden="1"/>
    </xf>
    <xf numFmtId="165" fontId="18" fillId="0" borderId="0" xfId="0" applyFont="1" applyFill="1" applyBorder="1" applyAlignment="1" applyProtection="1">
      <alignment vertical="center"/>
      <protection hidden="1"/>
    </xf>
    <xf numFmtId="1" fontId="20" fillId="0" borderId="0" xfId="0" applyNumberFormat="1" applyFont="1" applyFill="1" applyBorder="1" applyAlignment="1" applyProtection="1">
      <alignment horizontal="center" vertical="center"/>
      <protection hidden="1"/>
    </xf>
    <xf numFmtId="39" fontId="19" fillId="0" borderId="0" xfId="0" applyNumberFormat="1" applyFont="1" applyAlignment="1" applyProtection="1">
      <alignment horizontal="left" vertical="center"/>
      <protection hidden="1"/>
    </xf>
    <xf numFmtId="39" fontId="28" fillId="0" borderId="0" xfId="0" applyNumberFormat="1" applyFont="1" applyAlignment="1" applyProtection="1">
      <alignment horizontal="left" vertical="center"/>
      <protection hidden="1"/>
    </xf>
    <xf numFmtId="49" fontId="17" fillId="0" borderId="0" xfId="0" applyNumberFormat="1" applyFont="1" applyFill="1" applyBorder="1" applyAlignment="1" applyProtection="1">
      <alignment horizontal="center" vertical="center"/>
      <protection hidden="1"/>
    </xf>
    <xf numFmtId="39" fontId="18" fillId="5" borderId="1" xfId="0" applyNumberFormat="1" applyFont="1" applyFill="1" applyBorder="1" applyAlignment="1" applyProtection="1">
      <alignment vertical="center"/>
      <protection locked="0" hidden="1"/>
    </xf>
    <xf numFmtId="39" fontId="27" fillId="0" borderId="0" xfId="0" applyNumberFormat="1" applyFont="1" applyBorder="1" applyAlignment="1" applyProtection="1">
      <alignment vertical="center"/>
      <protection hidden="1"/>
    </xf>
    <xf numFmtId="39" fontId="23" fillId="0" borderId="0" xfId="0" quotePrefix="1" applyNumberFormat="1" applyFont="1" applyFill="1" applyAlignment="1" applyProtection="1">
      <alignment horizontal="center" vertical="center"/>
      <protection hidden="1"/>
    </xf>
    <xf numFmtId="165" fontId="18" fillId="0" borderId="6" xfId="0" applyFont="1" applyFill="1" applyBorder="1" applyAlignment="1" applyProtection="1">
      <alignment vertical="center"/>
      <protection hidden="1"/>
    </xf>
    <xf numFmtId="10" fontId="20" fillId="0" borderId="15" xfId="0" applyNumberFormat="1" applyFont="1" applyFill="1" applyBorder="1" applyAlignment="1" applyProtection="1">
      <alignment horizontal="left" vertical="center"/>
      <protection hidden="1"/>
    </xf>
    <xf numFmtId="165" fontId="16" fillId="0" borderId="31" xfId="0" applyFont="1" applyFill="1" applyBorder="1" applyAlignment="1" applyProtection="1">
      <alignment horizontal="center" vertical="center"/>
      <protection hidden="1"/>
    </xf>
    <xf numFmtId="165" fontId="20" fillId="0" borderId="0" xfId="0" applyFont="1" applyFill="1" applyAlignment="1" applyProtection="1">
      <alignment vertical="center"/>
      <protection hidden="1"/>
    </xf>
    <xf numFmtId="165" fontId="24" fillId="0" borderId="0" xfId="0" applyFont="1" applyFill="1" applyAlignment="1" applyProtection="1">
      <alignment horizontal="left" vertical="center"/>
      <protection hidden="1"/>
    </xf>
    <xf numFmtId="49" fontId="24" fillId="0" borderId="0" xfId="0" applyNumberFormat="1" applyFont="1" applyFill="1" applyAlignment="1" applyProtection="1">
      <alignment horizontal="center" vertical="center"/>
      <protection hidden="1"/>
    </xf>
    <xf numFmtId="166" fontId="27" fillId="0" borderId="10" xfId="0" applyNumberFormat="1" applyFont="1" applyFill="1" applyBorder="1" applyAlignment="1" applyProtection="1">
      <alignment horizontal="right" vertical="center"/>
      <protection hidden="1"/>
    </xf>
    <xf numFmtId="10" fontId="27" fillId="0" borderId="0" xfId="0" applyNumberFormat="1" applyFont="1" applyFill="1" applyBorder="1" applyAlignment="1" applyProtection="1">
      <alignment horizontal="center" vertical="center"/>
      <protection hidden="1"/>
    </xf>
    <xf numFmtId="39" fontId="18" fillId="0" borderId="0" xfId="0" applyNumberFormat="1" applyFont="1" applyBorder="1" applyAlignment="1" applyProtection="1">
      <alignment horizontal="right" vertical="center"/>
      <protection hidden="1"/>
    </xf>
    <xf numFmtId="1" fontId="19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24" fillId="0" borderId="37" xfId="0" applyNumberFormat="1" applyFont="1" applyFill="1" applyBorder="1" applyAlignment="1" applyProtection="1">
      <alignment horizontal="center" vertical="center"/>
      <protection hidden="1"/>
    </xf>
    <xf numFmtId="165" fontId="16" fillId="0" borderId="0" xfId="0" applyFont="1" applyFill="1" applyAlignment="1" applyProtection="1">
      <alignment horizontal="left" vertical="center"/>
      <protection hidden="1"/>
    </xf>
    <xf numFmtId="10" fontId="16" fillId="0" borderId="0" xfId="0" applyNumberFormat="1" applyFont="1" applyFill="1" applyAlignment="1" applyProtection="1">
      <alignment horizontal="right" vertical="center"/>
      <protection hidden="1"/>
    </xf>
    <xf numFmtId="39" fontId="24" fillId="0" borderId="0" xfId="0" applyNumberFormat="1" applyFont="1" applyFill="1" applyAlignment="1" applyProtection="1">
      <alignment vertical="center"/>
      <protection hidden="1"/>
    </xf>
    <xf numFmtId="166" fontId="27" fillId="2" borderId="7" xfId="0" applyNumberFormat="1" applyFont="1" applyFill="1" applyBorder="1" applyAlignment="1" applyProtection="1">
      <alignment horizontal="right" vertical="center"/>
      <protection hidden="1"/>
    </xf>
    <xf numFmtId="49" fontId="20" fillId="0" borderId="0" xfId="0" applyNumberFormat="1" applyFont="1" applyFill="1" applyBorder="1" applyAlignment="1" applyProtection="1">
      <alignment horizontal="center" vertical="center"/>
      <protection hidden="1"/>
    </xf>
    <xf numFmtId="39" fontId="16" fillId="0" borderId="0" xfId="0" applyNumberFormat="1" applyFont="1" applyFill="1" applyBorder="1" applyAlignment="1" applyProtection="1">
      <alignment horizontal="right" vertical="center"/>
      <protection hidden="1"/>
    </xf>
    <xf numFmtId="39" fontId="16" fillId="0" borderId="0" xfId="0" applyNumberFormat="1" applyFont="1" applyFill="1" applyAlignment="1" applyProtection="1">
      <alignment horizontal="right" vertical="center"/>
      <protection hidden="1"/>
    </xf>
    <xf numFmtId="39" fontId="17" fillId="0" borderId="0" xfId="0" applyNumberFormat="1" applyFont="1" applyAlignment="1" applyProtection="1">
      <alignment horizontal="right" vertical="center"/>
      <protection hidden="1"/>
    </xf>
    <xf numFmtId="10" fontId="24" fillId="0" borderId="0" xfId="0" applyNumberFormat="1" applyFont="1" applyAlignment="1" applyProtection="1">
      <alignment vertical="center"/>
      <protection hidden="1"/>
    </xf>
    <xf numFmtId="39" fontId="24" fillId="0" borderId="0" xfId="0" applyNumberFormat="1" applyFont="1" applyBorder="1" applyAlignment="1" applyProtection="1">
      <alignment vertical="center"/>
      <protection hidden="1"/>
    </xf>
    <xf numFmtId="165" fontId="20" fillId="0" borderId="31" xfId="0" applyFont="1" applyFill="1" applyBorder="1" applyAlignment="1" applyProtection="1">
      <alignment horizontal="center" vertical="center"/>
      <protection hidden="1"/>
    </xf>
    <xf numFmtId="1" fontId="24" fillId="0" borderId="0" xfId="0" applyNumberFormat="1" applyFont="1" applyFill="1" applyAlignment="1" applyProtection="1">
      <alignment horizontal="left" vertical="center"/>
      <protection hidden="1"/>
    </xf>
    <xf numFmtId="179" fontId="27" fillId="0" borderId="0" xfId="0" applyNumberFormat="1" applyFont="1" applyFill="1" applyAlignment="1" applyProtection="1">
      <alignment vertical="center"/>
      <protection hidden="1"/>
    </xf>
    <xf numFmtId="166" fontId="16" fillId="0" borderId="0" xfId="0" applyNumberFormat="1" applyFont="1" applyAlignment="1" applyProtection="1">
      <alignment vertical="center"/>
      <protection hidden="1"/>
    </xf>
    <xf numFmtId="49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27" fillId="0" borderId="0" xfId="0" applyNumberFormat="1" applyFont="1" applyAlignment="1" applyProtection="1">
      <alignment horizontal="right" vertical="center"/>
      <protection hidden="1"/>
    </xf>
    <xf numFmtId="166" fontId="27" fillId="0" borderId="0" xfId="0" applyNumberFormat="1" applyFont="1" applyFill="1" applyAlignment="1" applyProtection="1">
      <alignment horizontal="right" vertical="center"/>
      <protection hidden="1"/>
    </xf>
    <xf numFmtId="1" fontId="19" fillId="0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applyNumberFormat="1" applyFont="1" applyFill="1" applyBorder="1" applyAlignment="1" applyProtection="1">
      <alignment horizontal="center" vertical="center"/>
      <protection hidden="1"/>
    </xf>
    <xf numFmtId="39" fontId="27" fillId="0" borderId="0" xfId="0" applyNumberFormat="1" applyFont="1" applyFill="1" applyBorder="1" applyAlignment="1" applyProtection="1">
      <alignment horizontal="right" vertical="center"/>
      <protection hidden="1"/>
    </xf>
    <xf numFmtId="49" fontId="20" fillId="0" borderId="0" xfId="0" applyNumberFormat="1" applyFont="1" applyAlignment="1" applyProtection="1">
      <alignment horizontal="left" vertical="center"/>
      <protection hidden="1"/>
    </xf>
    <xf numFmtId="49" fontId="18" fillId="0" borderId="0" xfId="0" applyNumberFormat="1" applyFont="1" applyBorder="1" applyAlignment="1" applyProtection="1">
      <alignment vertical="center"/>
      <protection hidden="1"/>
    </xf>
    <xf numFmtId="165" fontId="24" fillId="0" borderId="37" xfId="0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Fill="1" applyBorder="1" applyAlignment="1" applyProtection="1">
      <alignment vertical="center"/>
      <protection hidden="1"/>
    </xf>
    <xf numFmtId="39" fontId="21" fillId="0" borderId="0" xfId="0" applyNumberFormat="1" applyFont="1" applyFill="1" applyBorder="1" applyAlignment="1" applyProtection="1">
      <alignment horizontal="right" vertical="center"/>
      <protection hidden="1"/>
    </xf>
    <xf numFmtId="49" fontId="16" fillId="2" borderId="8" xfId="0" applyNumberFormat="1" applyFont="1" applyFill="1" applyBorder="1" applyAlignment="1" applyProtection="1">
      <alignment vertical="center"/>
      <protection hidden="1"/>
    </xf>
    <xf numFmtId="39" fontId="29" fillId="0" borderId="0" xfId="0" applyNumberFormat="1" applyFont="1" applyAlignment="1" applyProtection="1">
      <alignment horizontal="right" vertical="center"/>
      <protection hidden="1"/>
    </xf>
    <xf numFmtId="165" fontId="33" fillId="0" borderId="0" xfId="0" applyFont="1" applyFill="1" applyAlignment="1" applyProtection="1">
      <alignment horizontal="center" vertical="center"/>
      <protection hidden="1"/>
    </xf>
    <xf numFmtId="39" fontId="16" fillId="0" borderId="0" xfId="0" applyNumberFormat="1" applyFont="1" applyFill="1" applyBorder="1" applyAlignment="1" applyProtection="1">
      <alignment vertical="center"/>
      <protection hidden="1"/>
    </xf>
    <xf numFmtId="165" fontId="19" fillId="5" borderId="38" xfId="0" applyFont="1" applyFill="1" applyBorder="1" applyAlignment="1" applyProtection="1">
      <alignment horizontal="center" vertical="center"/>
      <protection locked="0" hidden="1"/>
    </xf>
    <xf numFmtId="165" fontId="20" fillId="0" borderId="39" xfId="0" applyFont="1" applyFill="1" applyBorder="1" applyAlignment="1" applyProtection="1">
      <alignment horizontal="center" vertical="center"/>
      <protection hidden="1"/>
    </xf>
    <xf numFmtId="165" fontId="19" fillId="0" borderId="0" xfId="0" applyFont="1" applyFill="1" applyBorder="1" applyAlignment="1" applyProtection="1">
      <alignment vertical="center"/>
      <protection hidden="1"/>
    </xf>
    <xf numFmtId="49" fontId="19" fillId="0" borderId="0" xfId="0" applyNumberFormat="1" applyFont="1" applyBorder="1" applyAlignment="1" applyProtection="1">
      <alignment horizontal="center" vertical="center"/>
      <protection hidden="1"/>
    </xf>
    <xf numFmtId="166" fontId="19" fillId="0" borderId="0" xfId="0" applyNumberFormat="1" applyFont="1" applyBorder="1" applyAlignment="1" applyProtection="1">
      <alignment horizontal="center" vertical="center"/>
      <protection hidden="1"/>
    </xf>
    <xf numFmtId="1" fontId="29" fillId="0" borderId="0" xfId="0" applyNumberFormat="1" applyFont="1" applyBorder="1" applyAlignment="1" applyProtection="1">
      <alignment horizontal="center" vertical="center"/>
      <protection hidden="1"/>
    </xf>
    <xf numFmtId="166" fontId="19" fillId="0" borderId="0" xfId="0" applyNumberFormat="1" applyFont="1" applyFill="1" applyBorder="1" applyAlignment="1" applyProtection="1">
      <alignment horizontal="center" vertical="center"/>
      <protection hidden="1"/>
    </xf>
    <xf numFmtId="39" fontId="31" fillId="0" borderId="0" xfId="0" applyNumberFormat="1" applyFont="1" applyAlignment="1" applyProtection="1">
      <alignment horizontal="right" vertical="center"/>
      <protection hidden="1"/>
    </xf>
    <xf numFmtId="49" fontId="20" fillId="0" borderId="0" xfId="0" applyNumberFormat="1" applyFont="1" applyFill="1" applyAlignment="1" applyProtection="1">
      <alignment horizontal="center" vertical="center"/>
      <protection hidden="1"/>
    </xf>
    <xf numFmtId="49" fontId="20" fillId="0" borderId="0" xfId="0" applyNumberFormat="1" applyFont="1" applyFill="1" applyBorder="1" applyAlignment="1" applyProtection="1">
      <alignment horizontal="left" vertical="center"/>
      <protection hidden="1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49" fontId="20" fillId="0" borderId="0" xfId="0" applyNumberFormat="1" applyFont="1" applyFill="1" applyBorder="1" applyAlignment="1" applyProtection="1">
      <alignment vertical="center"/>
      <protection hidden="1"/>
    </xf>
    <xf numFmtId="39" fontId="17" fillId="0" borderId="0" xfId="0" applyNumberFormat="1" applyFont="1" applyAlignment="1" applyProtection="1">
      <alignment horizontal="center" vertical="center"/>
      <protection hidden="1"/>
    </xf>
    <xf numFmtId="165" fontId="22" fillId="0" borderId="0" xfId="0" applyFont="1" applyAlignment="1" applyProtection="1">
      <alignment horizontal="center" vertical="center"/>
      <protection hidden="1"/>
    </xf>
    <xf numFmtId="1" fontId="17" fillId="0" borderId="0" xfId="0" applyNumberFormat="1" applyFont="1" applyAlignment="1" applyProtection="1">
      <alignment horizontal="center" vertical="center"/>
      <protection hidden="1"/>
    </xf>
    <xf numFmtId="165" fontId="20" fillId="0" borderId="16" xfId="0" applyFont="1" applyFill="1" applyBorder="1" applyAlignment="1" applyProtection="1">
      <alignment horizontal="center" vertical="center"/>
      <protection hidden="1"/>
    </xf>
    <xf numFmtId="165" fontId="19" fillId="0" borderId="0" xfId="0" applyFont="1" applyFill="1" applyAlignment="1" applyProtection="1">
      <alignment horizontal="left" vertical="center"/>
      <protection hidden="1"/>
    </xf>
    <xf numFmtId="165" fontId="20" fillId="0" borderId="15" xfId="0" applyFont="1" applyFill="1" applyBorder="1" applyAlignment="1" applyProtection="1">
      <alignment vertical="center"/>
      <protection hidden="1"/>
    </xf>
    <xf numFmtId="165" fontId="20" fillId="0" borderId="27" xfId="0" applyFont="1" applyBorder="1" applyAlignment="1" applyProtection="1">
      <alignment horizontal="center" vertical="center"/>
      <protection hidden="1"/>
    </xf>
    <xf numFmtId="166" fontId="16" fillId="0" borderId="16" xfId="0" applyNumberFormat="1" applyFont="1" applyBorder="1" applyAlignment="1" applyProtection="1">
      <alignment horizontal="right" vertical="center"/>
      <protection hidden="1"/>
    </xf>
    <xf numFmtId="49" fontId="29" fillId="0" borderId="0" xfId="0" applyNumberFormat="1" applyFont="1" applyBorder="1" applyAlignment="1" applyProtection="1">
      <alignment vertical="center"/>
      <protection hidden="1"/>
    </xf>
    <xf numFmtId="165" fontId="24" fillId="0" borderId="17" xfId="0" applyFont="1" applyFill="1" applyBorder="1" applyAlignment="1" applyProtection="1">
      <alignment vertical="center"/>
      <protection hidden="1"/>
    </xf>
    <xf numFmtId="165" fontId="24" fillId="0" borderId="25" xfId="0" applyFont="1" applyBorder="1" applyAlignment="1" applyProtection="1">
      <alignment horizontal="center" vertical="center"/>
      <protection hidden="1"/>
    </xf>
    <xf numFmtId="166" fontId="27" fillId="0" borderId="18" xfId="0" applyNumberFormat="1" applyFont="1" applyBorder="1" applyAlignment="1" applyProtection="1">
      <alignment horizontal="right" vertical="center"/>
      <protection hidden="1"/>
    </xf>
    <xf numFmtId="166" fontId="27" fillId="0" borderId="0" xfId="0" applyNumberFormat="1" applyFont="1" applyFill="1" applyBorder="1" applyAlignment="1" applyProtection="1">
      <alignment horizontal="right" vertical="center"/>
      <protection hidden="1"/>
    </xf>
    <xf numFmtId="1" fontId="24" fillId="0" borderId="0" xfId="0" applyNumberFormat="1" applyFont="1" applyFill="1" applyBorder="1" applyAlignment="1" applyProtection="1">
      <alignment vertical="center"/>
      <protection hidden="1"/>
    </xf>
    <xf numFmtId="2" fontId="18" fillId="0" borderId="0" xfId="0" applyNumberFormat="1" applyFont="1" applyFill="1" applyBorder="1" applyAlignment="1" applyProtection="1">
      <alignment vertical="center"/>
      <protection hidden="1"/>
    </xf>
    <xf numFmtId="1" fontId="20" fillId="0" borderId="0" xfId="0" applyNumberFormat="1" applyFont="1" applyFill="1" applyBorder="1" applyAlignment="1" applyProtection="1">
      <alignment vertical="center"/>
      <protection hidden="1"/>
    </xf>
    <xf numFmtId="178" fontId="17" fillId="0" borderId="0" xfId="0" applyNumberFormat="1" applyFont="1" applyAlignment="1" applyProtection="1">
      <alignment horizontal="center" vertical="center"/>
      <protection hidden="1"/>
    </xf>
    <xf numFmtId="171" fontId="18" fillId="5" borderId="1" xfId="0" applyNumberFormat="1" applyFont="1" applyFill="1" applyBorder="1" applyAlignment="1" applyProtection="1">
      <alignment horizontal="center" vertical="center"/>
      <protection locked="0"/>
    </xf>
    <xf numFmtId="172" fontId="18" fillId="5" borderId="1" xfId="0" applyNumberFormat="1" applyFont="1" applyFill="1" applyBorder="1" applyAlignment="1" applyProtection="1">
      <alignment horizontal="center" vertical="center"/>
      <protection locked="0"/>
    </xf>
    <xf numFmtId="172" fontId="18" fillId="5" borderId="3" xfId="0" applyNumberFormat="1" applyFont="1" applyFill="1" applyBorder="1" applyAlignment="1" applyProtection="1">
      <alignment horizontal="center" vertical="center"/>
      <protection locked="0"/>
    </xf>
    <xf numFmtId="49" fontId="24" fillId="0" borderId="32" xfId="0" applyNumberFormat="1" applyFont="1" applyFill="1" applyBorder="1" applyAlignment="1" applyProtection="1">
      <alignment horizontal="center" vertical="center"/>
      <protection hidden="1"/>
    </xf>
    <xf numFmtId="165" fontId="24" fillId="0" borderId="33" xfId="0" applyFont="1" applyFill="1" applyBorder="1" applyAlignment="1" applyProtection="1">
      <alignment horizontal="center" vertical="center"/>
      <protection hidden="1"/>
    </xf>
    <xf numFmtId="165" fontId="20" fillId="0" borderId="19" xfId="0" applyFont="1" applyBorder="1" applyAlignment="1" applyProtection="1">
      <alignment horizontal="left" vertical="center"/>
      <protection hidden="1"/>
    </xf>
    <xf numFmtId="166" fontId="16" fillId="0" borderId="20" xfId="0" applyNumberFormat="1" applyFont="1" applyBorder="1" applyAlignment="1" applyProtection="1">
      <alignment horizontal="right" vertical="center"/>
      <protection hidden="1"/>
    </xf>
    <xf numFmtId="1" fontId="20" fillId="0" borderId="0" xfId="0" quotePrefix="1" applyNumberFormat="1" applyFont="1" applyBorder="1" applyAlignment="1" applyProtection="1">
      <alignment horizontal="center" vertical="center"/>
      <protection hidden="1"/>
    </xf>
    <xf numFmtId="165" fontId="24" fillId="0" borderId="21" xfId="0" applyFont="1" applyBorder="1" applyAlignment="1" applyProtection="1">
      <alignment horizontal="left" vertical="center"/>
      <protection hidden="1"/>
    </xf>
    <xf numFmtId="165" fontId="24" fillId="0" borderId="0" xfId="0" applyFont="1" applyBorder="1" applyAlignment="1" applyProtection="1">
      <alignment horizontal="center" vertical="center"/>
      <protection hidden="1"/>
    </xf>
    <xf numFmtId="166" fontId="27" fillId="0" borderId="22" xfId="0" applyNumberFormat="1" applyFont="1" applyBorder="1" applyAlignment="1" applyProtection="1">
      <alignment horizontal="right" vertical="center"/>
      <protection hidden="1"/>
    </xf>
    <xf numFmtId="49" fontId="16" fillId="2" borderId="5" xfId="0" applyNumberFormat="1" applyFont="1" applyFill="1" applyBorder="1" applyAlignment="1" applyProtection="1">
      <alignment vertical="center"/>
      <protection hidden="1"/>
    </xf>
    <xf numFmtId="166" fontId="31" fillId="0" borderId="0" xfId="0" applyNumberFormat="1" applyFont="1" applyAlignment="1" applyProtection="1">
      <alignment horizontal="right" vertical="center"/>
      <protection hidden="1"/>
    </xf>
    <xf numFmtId="165" fontId="16" fillId="0" borderId="0" xfId="0" quotePrefix="1" applyNumberFormat="1" applyFont="1" applyAlignment="1" applyProtection="1">
      <alignment horizontal="left" vertical="center"/>
      <protection hidden="1"/>
    </xf>
    <xf numFmtId="170" fontId="27" fillId="0" borderId="0" xfId="0" applyNumberFormat="1" applyFont="1" applyAlignment="1" applyProtection="1">
      <alignment horizontal="center" vertical="center"/>
      <protection hidden="1"/>
    </xf>
    <xf numFmtId="169" fontId="27" fillId="0" borderId="0" xfId="0" applyNumberFormat="1" applyFont="1" applyAlignment="1" applyProtection="1">
      <alignment vertical="center"/>
      <protection hidden="1"/>
    </xf>
    <xf numFmtId="173" fontId="18" fillId="5" borderId="1" xfId="0" applyNumberFormat="1" applyFont="1" applyFill="1" applyBorder="1" applyAlignment="1" applyProtection="1">
      <alignment horizontal="center" vertical="center"/>
      <protection locked="0"/>
    </xf>
    <xf numFmtId="39" fontId="18" fillId="5" borderId="3" xfId="0" applyNumberFormat="1" applyFont="1" applyFill="1" applyBorder="1" applyAlignment="1" applyProtection="1">
      <alignment horizontal="center" vertical="center"/>
      <protection locked="0"/>
    </xf>
    <xf numFmtId="1" fontId="22" fillId="3" borderId="32" xfId="0" applyNumberFormat="1" applyFont="1" applyFill="1" applyBorder="1" applyAlignment="1" applyProtection="1">
      <alignment horizontal="center" vertical="center"/>
      <protection hidden="1"/>
    </xf>
    <xf numFmtId="1" fontId="22" fillId="3" borderId="33" xfId="0" applyNumberFormat="1" applyFont="1" applyFill="1" applyBorder="1" applyAlignment="1" applyProtection="1">
      <alignment horizontal="center" vertical="center"/>
      <protection hidden="1"/>
    </xf>
    <xf numFmtId="1" fontId="20" fillId="0" borderId="23" xfId="0" applyNumberFormat="1" applyFont="1" applyBorder="1" applyAlignment="1" applyProtection="1">
      <alignment vertical="center"/>
      <protection hidden="1"/>
    </xf>
    <xf numFmtId="165" fontId="20" fillId="0" borderId="28" xfId="0" applyFont="1" applyBorder="1" applyAlignment="1" applyProtection="1">
      <alignment horizontal="center" vertical="center"/>
      <protection hidden="1"/>
    </xf>
    <xf numFmtId="166" fontId="20" fillId="0" borderId="29" xfId="0" applyNumberFormat="1" applyFont="1" applyBorder="1" applyAlignment="1" applyProtection="1">
      <alignment vertical="center"/>
      <protection hidden="1"/>
    </xf>
    <xf numFmtId="166" fontId="19" fillId="0" borderId="0" xfId="0" applyNumberFormat="1" applyFont="1" applyAlignment="1" applyProtection="1">
      <alignment vertical="center"/>
      <protection hidden="1"/>
    </xf>
    <xf numFmtId="1" fontId="24" fillId="0" borderId="24" xfId="0" applyNumberFormat="1" applyFont="1" applyBorder="1" applyAlignment="1" applyProtection="1">
      <alignment vertical="center"/>
      <protection hidden="1"/>
    </xf>
    <xf numFmtId="165" fontId="24" fillId="0" borderId="26" xfId="0" applyFont="1" applyBorder="1" applyAlignment="1" applyProtection="1">
      <alignment horizontal="center" vertical="center"/>
      <protection hidden="1"/>
    </xf>
    <xf numFmtId="166" fontId="24" fillId="0" borderId="30" xfId="0" applyNumberFormat="1" applyFont="1" applyBorder="1" applyAlignment="1" applyProtection="1">
      <alignment vertical="center"/>
      <protection hidden="1"/>
    </xf>
    <xf numFmtId="166" fontId="16" fillId="0" borderId="0" xfId="0" applyNumberFormat="1" applyFont="1" applyAlignment="1" applyProtection="1">
      <alignment horizontal="right" vertical="center"/>
      <protection hidden="1"/>
    </xf>
    <xf numFmtId="49" fontId="18" fillId="5" borderId="12" xfId="0" applyNumberFormat="1" applyFont="1" applyFill="1" applyBorder="1" applyAlignment="1" applyProtection="1">
      <alignment vertical="center"/>
      <protection locked="0" hidden="1"/>
    </xf>
    <xf numFmtId="49" fontId="18" fillId="5" borderId="9" xfId="0" applyNumberFormat="1" applyFont="1" applyFill="1" applyBorder="1" applyAlignment="1" applyProtection="1">
      <alignment vertical="center"/>
      <protection hidden="1"/>
    </xf>
    <xf numFmtId="49" fontId="18" fillId="5" borderId="4" xfId="0" applyNumberFormat="1" applyFont="1" applyFill="1" applyBorder="1" applyAlignment="1" applyProtection="1">
      <alignment vertical="center"/>
      <protection hidden="1"/>
    </xf>
    <xf numFmtId="39" fontId="18" fillId="5" borderId="1" xfId="0" applyNumberFormat="1" applyFont="1" applyFill="1" applyBorder="1" applyAlignment="1" applyProtection="1">
      <alignment horizontal="center" vertical="center"/>
      <protection locked="0"/>
    </xf>
    <xf numFmtId="39" fontId="28" fillId="5" borderId="3" xfId="0" applyNumberFormat="1" applyFont="1" applyFill="1" applyBorder="1" applyAlignment="1" applyProtection="1">
      <alignment horizontal="center" vertical="center"/>
      <protection locked="0"/>
    </xf>
    <xf numFmtId="1" fontId="17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19" fillId="5" borderId="37" xfId="0" applyNumberFormat="1" applyFont="1" applyFill="1" applyBorder="1" applyAlignment="1" applyProtection="1">
      <alignment horizontal="center" vertical="center"/>
      <protection locked="0" hidden="1"/>
    </xf>
    <xf numFmtId="165" fontId="34" fillId="0" borderId="0" xfId="0" applyFont="1" applyAlignment="1" applyProtection="1">
      <alignment vertical="center"/>
      <protection hidden="1"/>
    </xf>
    <xf numFmtId="178" fontId="22" fillId="0" borderId="0" xfId="0" applyNumberFormat="1" applyFont="1" applyAlignment="1" applyProtection="1">
      <alignment horizontal="center" vertical="center"/>
      <protection hidden="1"/>
    </xf>
    <xf numFmtId="165" fontId="20" fillId="0" borderId="15" xfId="0" applyFont="1" applyBorder="1" applyAlignment="1" applyProtection="1">
      <alignment horizontal="left" vertical="center"/>
      <protection hidden="1"/>
    </xf>
    <xf numFmtId="1" fontId="20" fillId="0" borderId="25" xfId="0" applyNumberFormat="1" applyFont="1" applyBorder="1" applyAlignment="1" applyProtection="1">
      <alignment horizontal="center" vertical="center"/>
      <protection hidden="1"/>
    </xf>
    <xf numFmtId="165" fontId="24" fillId="0" borderId="17" xfId="0" applyFont="1" applyBorder="1" applyAlignment="1" applyProtection="1">
      <alignment horizontal="left" vertical="center"/>
      <protection hidden="1"/>
    </xf>
    <xf numFmtId="1" fontId="24" fillId="0" borderId="25" xfId="0" applyNumberFormat="1" applyFont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166" fontId="24" fillId="0" borderId="0" xfId="0" applyNumberFormat="1" applyFont="1" applyAlignment="1" applyProtection="1">
      <alignment horizontal="right" vertical="center"/>
      <protection hidden="1"/>
    </xf>
    <xf numFmtId="49" fontId="18" fillId="5" borderId="13" xfId="0" applyNumberFormat="1" applyFont="1" applyFill="1" applyBorder="1" applyAlignment="1" applyProtection="1">
      <alignment vertical="center"/>
      <protection locked="0" hidden="1"/>
    </xf>
    <xf numFmtId="49" fontId="18" fillId="5" borderId="0" xfId="0" applyNumberFormat="1" applyFont="1" applyFill="1" applyBorder="1" applyAlignment="1" applyProtection="1">
      <alignment vertical="center"/>
      <protection hidden="1"/>
    </xf>
    <xf numFmtId="49" fontId="18" fillId="5" borderId="6" xfId="0" applyNumberFormat="1" applyFont="1" applyFill="1" applyBorder="1" applyAlignment="1" applyProtection="1">
      <alignment vertical="center"/>
      <protection hidden="1"/>
    </xf>
    <xf numFmtId="39" fontId="28" fillId="5" borderId="1" xfId="0" applyNumberFormat="1" applyFont="1" applyFill="1" applyBorder="1" applyAlignment="1" applyProtection="1">
      <alignment horizontal="center" vertical="center"/>
      <protection locked="0"/>
    </xf>
    <xf numFmtId="177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174" fontId="24" fillId="4" borderId="3" xfId="0" applyNumberFormat="1" applyFont="1" applyFill="1" applyBorder="1" applyAlignment="1" applyProtection="1">
      <alignment horizontal="center" vertical="center"/>
      <protection hidden="1"/>
    </xf>
    <xf numFmtId="49" fontId="19" fillId="5" borderId="38" xfId="0" applyNumberFormat="1" applyFont="1" applyFill="1" applyBorder="1" applyAlignment="1" applyProtection="1">
      <alignment horizontal="center" vertical="center"/>
      <protection locked="0" hidden="1"/>
    </xf>
    <xf numFmtId="49" fontId="19" fillId="0" borderId="39" xfId="0" applyNumberFormat="1" applyFont="1" applyBorder="1" applyAlignment="1" applyProtection="1">
      <alignment horizontal="center" vertical="center"/>
      <protection hidden="1"/>
    </xf>
    <xf numFmtId="166" fontId="24" fillId="0" borderId="0" xfId="0" applyNumberFormat="1" applyFont="1" applyAlignment="1" applyProtection="1">
      <alignment vertical="center"/>
      <protection hidden="1"/>
    </xf>
    <xf numFmtId="1" fontId="20" fillId="0" borderId="0" xfId="0" applyNumberFormat="1" applyFont="1" applyBorder="1" applyAlignment="1" applyProtection="1">
      <alignment horizontal="center" vertical="center"/>
      <protection hidden="1"/>
    </xf>
    <xf numFmtId="1" fontId="24" fillId="0" borderId="0" xfId="0" applyNumberFormat="1" applyFont="1" applyAlignment="1" applyProtection="1">
      <alignment horizontal="left" vertical="center"/>
      <protection hidden="1"/>
    </xf>
    <xf numFmtId="166" fontId="24" fillId="0" borderId="0" xfId="0" applyNumberFormat="1" applyFont="1" applyBorder="1" applyAlignment="1" applyProtection="1">
      <alignment horizontal="right" vertical="center"/>
      <protection hidden="1"/>
    </xf>
    <xf numFmtId="39" fontId="16" fillId="0" borderId="2" xfId="0" applyNumberFormat="1" applyFont="1" applyBorder="1" applyAlignment="1" applyProtection="1">
      <alignment vertical="center"/>
      <protection hidden="1"/>
    </xf>
    <xf numFmtId="39" fontId="27" fillId="0" borderId="2" xfId="0" applyNumberFormat="1" applyFont="1" applyBorder="1" applyAlignment="1" applyProtection="1">
      <alignment vertical="center"/>
      <protection hidden="1"/>
    </xf>
    <xf numFmtId="49" fontId="27" fillId="0" borderId="7" xfId="0" applyNumberFormat="1" applyFont="1" applyBorder="1" applyAlignment="1" applyProtection="1">
      <alignment horizontal="center" vertical="center"/>
      <protection hidden="1"/>
    </xf>
    <xf numFmtId="174" fontId="24" fillId="3" borderId="1" xfId="0" applyNumberFormat="1" applyFont="1" applyFill="1" applyBorder="1" applyAlignment="1" applyProtection="1">
      <alignment horizontal="center" vertical="center"/>
      <protection hidden="1"/>
    </xf>
    <xf numFmtId="177" fontId="24" fillId="3" borderId="5" xfId="0" applyNumberFormat="1" applyFont="1" applyFill="1" applyBorder="1" applyAlignment="1" applyProtection="1">
      <alignment horizontal="center" vertical="center"/>
      <protection hidden="1"/>
    </xf>
    <xf numFmtId="172" fontId="24" fillId="0" borderId="0" xfId="0" quotePrefix="1" applyNumberFormat="1" applyFont="1" applyAlignment="1" applyProtection="1">
      <alignment horizontal="center" vertical="center"/>
      <protection hidden="1"/>
    </xf>
    <xf numFmtId="4" fontId="24" fillId="3" borderId="3" xfId="0" applyNumberFormat="1" applyFont="1" applyFill="1" applyBorder="1" applyAlignment="1" applyProtection="1">
      <alignment horizontal="center" vertical="center"/>
      <protection hidden="1"/>
    </xf>
    <xf numFmtId="1" fontId="20" fillId="0" borderId="48" xfId="0" applyNumberFormat="1" applyFont="1" applyBorder="1" applyAlignment="1" applyProtection="1">
      <alignment horizontal="left"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39" fontId="35" fillId="0" borderId="0" xfId="0" applyNumberFormat="1" applyFont="1" applyAlignment="1" applyProtection="1">
      <alignment vertical="center"/>
      <protection hidden="1"/>
    </xf>
    <xf numFmtId="1" fontId="20" fillId="0" borderId="26" xfId="0" applyNumberFormat="1" applyFont="1" applyBorder="1" applyAlignment="1" applyProtection="1">
      <alignment horizontal="center" vertical="center"/>
      <protection hidden="1"/>
    </xf>
    <xf numFmtId="49" fontId="19" fillId="0" borderId="0" xfId="0" applyNumberFormat="1" applyFont="1" applyAlignment="1" applyProtection="1">
      <alignment vertical="center"/>
      <protection hidden="1"/>
    </xf>
    <xf numFmtId="1" fontId="24" fillId="0" borderId="26" xfId="0" applyNumberFormat="1" applyFont="1" applyBorder="1" applyAlignment="1" applyProtection="1">
      <alignment horizontal="center" vertical="center"/>
      <protection hidden="1"/>
    </xf>
    <xf numFmtId="177" fontId="20" fillId="0" borderId="0" xfId="0" applyNumberFormat="1" applyFont="1" applyAlignment="1" applyProtection="1">
      <alignment vertical="center"/>
      <protection hidden="1"/>
    </xf>
    <xf numFmtId="177" fontId="24" fillId="0" borderId="0" xfId="0" applyNumberFormat="1" applyFont="1" applyAlignment="1" applyProtection="1">
      <alignment horizontal="right" vertical="center"/>
      <protection hidden="1"/>
    </xf>
    <xf numFmtId="177" fontId="24" fillId="0" borderId="0" xfId="0" applyNumberFormat="1" applyFont="1" applyBorder="1" applyAlignment="1" applyProtection="1">
      <alignment horizontal="right" vertical="center"/>
      <protection hidden="1"/>
    </xf>
    <xf numFmtId="165" fontId="19" fillId="0" borderId="10" xfId="0" applyFont="1" applyBorder="1" applyAlignment="1" applyProtection="1">
      <alignment horizontal="left" vertical="center"/>
      <protection hidden="1"/>
    </xf>
    <xf numFmtId="166" fontId="16" fillId="0" borderId="10" xfId="0" applyNumberFormat="1" applyFont="1" applyBorder="1" applyAlignment="1" applyProtection="1">
      <alignment horizontal="right" vertical="center"/>
      <protection hidden="1"/>
    </xf>
    <xf numFmtId="166" fontId="27" fillId="0" borderId="10" xfId="0" applyNumberFormat="1" applyFont="1" applyBorder="1" applyAlignment="1" applyProtection="1">
      <alignment vertical="center"/>
      <protection hidden="1"/>
    </xf>
    <xf numFmtId="10" fontId="27" fillId="0" borderId="10" xfId="0" applyNumberFormat="1" applyFont="1" applyBorder="1" applyAlignment="1" applyProtection="1">
      <alignment horizontal="center" vertical="center"/>
      <protection hidden="1"/>
    </xf>
    <xf numFmtId="49" fontId="18" fillId="5" borderId="0" xfId="0" applyNumberFormat="1" applyFont="1" applyFill="1" applyBorder="1" applyAlignment="1" applyProtection="1">
      <alignment vertical="center"/>
      <protection locked="0" hidden="1"/>
    </xf>
    <xf numFmtId="169" fontId="24" fillId="6" borderId="1" xfId="0" applyNumberFormat="1" applyFont="1" applyFill="1" applyBorder="1" applyAlignment="1" applyProtection="1">
      <alignment horizontal="center" vertical="center"/>
      <protection hidden="1"/>
    </xf>
    <xf numFmtId="169" fontId="24" fillId="6" borderId="3" xfId="0" applyNumberFormat="1" applyFont="1" applyFill="1" applyBorder="1" applyAlignment="1" applyProtection="1">
      <alignment horizontal="center" vertical="center"/>
      <protection hidden="1"/>
    </xf>
    <xf numFmtId="169" fontId="24" fillId="6" borderId="10" xfId="0" applyNumberFormat="1" applyFont="1" applyFill="1" applyBorder="1" applyAlignment="1" applyProtection="1">
      <alignment horizontal="center" vertical="center"/>
      <protection hidden="1"/>
    </xf>
    <xf numFmtId="1" fontId="22" fillId="3" borderId="40" xfId="0" applyNumberFormat="1" applyFont="1" applyFill="1" applyBorder="1" applyAlignment="1" applyProtection="1">
      <alignment horizontal="center" vertical="center"/>
      <protection hidden="1"/>
    </xf>
    <xf numFmtId="165" fontId="17" fillId="0" borderId="0" xfId="0" applyFont="1" applyBorder="1" applyAlignment="1" applyProtection="1">
      <alignment vertical="center"/>
      <protection hidden="1"/>
    </xf>
    <xf numFmtId="1" fontId="36" fillId="0" borderId="0" xfId="0" applyNumberFormat="1" applyFont="1" applyBorder="1" applyAlignment="1" applyProtection="1">
      <alignment horizontal="center" vertical="center"/>
      <protection hidden="1"/>
    </xf>
    <xf numFmtId="1" fontId="17" fillId="0" borderId="0" xfId="0" applyNumberFormat="1" applyFont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 applyProtection="1">
      <alignment horizontal="center" vertical="center"/>
      <protection hidden="1"/>
    </xf>
    <xf numFmtId="165" fontId="37" fillId="0" borderId="0" xfId="0" applyFont="1" applyAlignment="1" applyProtection="1">
      <alignment horizontal="left" vertical="center"/>
      <protection hidden="1"/>
    </xf>
    <xf numFmtId="165" fontId="24" fillId="0" borderId="0" xfId="0" applyFont="1" applyBorder="1" applyAlignment="1" applyProtection="1">
      <alignment horizontal="left" vertical="center"/>
      <protection hidden="1"/>
    </xf>
    <xf numFmtId="10" fontId="24" fillId="0" borderId="0" xfId="0" applyNumberFormat="1" applyFont="1" applyAlignment="1" applyProtection="1">
      <alignment horizontal="center" vertical="center"/>
      <protection hidden="1"/>
    </xf>
    <xf numFmtId="165" fontId="18" fillId="5" borderId="0" xfId="0" applyFont="1" applyFill="1" applyBorder="1" applyAlignment="1" applyProtection="1">
      <alignment vertical="center"/>
      <protection hidden="1"/>
    </xf>
    <xf numFmtId="165" fontId="18" fillId="5" borderId="6" xfId="0" applyFont="1" applyFill="1" applyBorder="1" applyAlignment="1" applyProtection="1">
      <alignment vertical="center"/>
      <protection hidden="1"/>
    </xf>
    <xf numFmtId="169" fontId="24" fillId="6" borderId="5" xfId="0" applyNumberFormat="1" applyFont="1" applyFill="1" applyBorder="1" applyAlignment="1" applyProtection="1">
      <alignment horizontal="center" vertical="center"/>
      <protection hidden="1"/>
    </xf>
    <xf numFmtId="169" fontId="24" fillId="6" borderId="2" xfId="0" applyNumberFormat="1" applyFont="1" applyFill="1" applyBorder="1" applyAlignment="1" applyProtection="1">
      <alignment horizontal="center" vertical="center"/>
      <protection hidden="1"/>
    </xf>
    <xf numFmtId="169" fontId="24" fillId="6" borderId="14" xfId="0" applyNumberFormat="1" applyFont="1" applyFill="1" applyBorder="1" applyAlignment="1" applyProtection="1">
      <alignment horizontal="center" vertical="center"/>
      <protection hidden="1"/>
    </xf>
    <xf numFmtId="1" fontId="17" fillId="5" borderId="37" xfId="0" applyNumberFormat="1" applyFont="1" applyFill="1" applyBorder="1" applyAlignment="1" applyProtection="1">
      <alignment horizontal="center" vertical="center"/>
      <protection locked="0" hidden="1"/>
    </xf>
    <xf numFmtId="165" fontId="18" fillId="0" borderId="0" xfId="0" applyFont="1" applyBorder="1" applyAlignment="1" applyProtection="1">
      <alignment vertical="center"/>
      <protection hidden="1"/>
    </xf>
    <xf numFmtId="165" fontId="24" fillId="0" borderId="0" xfId="0" applyFont="1" applyBorder="1" applyAlignment="1" applyProtection="1">
      <alignment vertical="center"/>
      <protection hidden="1"/>
    </xf>
    <xf numFmtId="10" fontId="20" fillId="0" borderId="0" xfId="0" applyNumberFormat="1" applyFont="1" applyAlignment="1" applyProtection="1">
      <alignment horizontal="center" vertical="center"/>
      <protection hidden="1"/>
    </xf>
    <xf numFmtId="165" fontId="18" fillId="5" borderId="13" xfId="0" applyFont="1" applyFill="1" applyBorder="1" applyAlignment="1" applyProtection="1">
      <alignment vertical="center"/>
      <protection locked="0" hidden="1"/>
    </xf>
    <xf numFmtId="165" fontId="18" fillId="5" borderId="0" xfId="0" applyFont="1" applyFill="1" applyBorder="1" applyAlignment="1" applyProtection="1">
      <alignment horizontal="right" vertical="center"/>
      <protection hidden="1"/>
    </xf>
    <xf numFmtId="165" fontId="18" fillId="5" borderId="6" xfId="0" applyFont="1" applyFill="1" applyBorder="1" applyAlignment="1" applyProtection="1">
      <alignment horizontal="right" vertical="center"/>
      <protection hidden="1"/>
    </xf>
    <xf numFmtId="39" fontId="22" fillId="0" borderId="0" xfId="0" applyNumberFormat="1" applyFont="1" applyAlignment="1" applyProtection="1">
      <alignment horizontal="center" vertical="center"/>
      <protection hidden="1"/>
    </xf>
    <xf numFmtId="49" fontId="20" fillId="0" borderId="1" xfId="0" applyNumberFormat="1" applyFont="1" applyBorder="1" applyAlignment="1" applyProtection="1">
      <alignment horizontal="right" vertical="center"/>
      <protection hidden="1"/>
    </xf>
    <xf numFmtId="10" fontId="19" fillId="3" borderId="1" xfId="0" applyNumberFormat="1" applyFont="1" applyFill="1" applyBorder="1" applyAlignment="1" applyProtection="1">
      <alignment horizontal="center" vertical="center"/>
      <protection hidden="1"/>
    </xf>
    <xf numFmtId="10" fontId="19" fillId="3" borderId="3" xfId="0" applyNumberFormat="1" applyFont="1" applyFill="1" applyBorder="1" applyAlignment="1" applyProtection="1">
      <alignment horizontal="center" vertical="center"/>
      <protection hidden="1"/>
    </xf>
    <xf numFmtId="1" fontId="18" fillId="0" borderId="0" xfId="0" applyNumberFormat="1" applyFont="1" applyAlignment="1" applyProtection="1">
      <alignment vertical="center"/>
      <protection hidden="1"/>
    </xf>
    <xf numFmtId="10" fontId="20" fillId="0" borderId="6" xfId="0" applyNumberFormat="1" applyFont="1" applyBorder="1" applyAlignment="1" applyProtection="1">
      <alignment horizontal="center" vertical="center"/>
      <protection hidden="1"/>
    </xf>
    <xf numFmtId="49" fontId="18" fillId="5" borderId="14" xfId="0" applyNumberFormat="1" applyFont="1" applyFill="1" applyBorder="1" applyAlignment="1" applyProtection="1">
      <alignment vertical="center"/>
      <protection locked="0" hidden="1"/>
    </xf>
    <xf numFmtId="49" fontId="18" fillId="5" borderId="2" xfId="0" applyNumberFormat="1" applyFont="1" applyFill="1" applyBorder="1" applyAlignment="1" applyProtection="1">
      <alignment vertical="center"/>
      <protection hidden="1"/>
    </xf>
    <xf numFmtId="165" fontId="34" fillId="5" borderId="2" xfId="0" applyFont="1" applyFill="1" applyBorder="1" applyProtection="1">
      <alignment vertical="center"/>
      <protection hidden="1"/>
    </xf>
    <xf numFmtId="165" fontId="34" fillId="5" borderId="7" xfId="0" applyFont="1" applyFill="1" applyBorder="1" applyProtection="1">
      <alignment vertical="center"/>
      <protection hidden="1"/>
    </xf>
    <xf numFmtId="49" fontId="23" fillId="0" borderId="0" xfId="0" applyNumberFormat="1" applyFont="1" applyAlignment="1" applyProtection="1">
      <alignment horizontal="center" vertical="center"/>
      <protection hidden="1"/>
    </xf>
    <xf numFmtId="10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10" fontId="19" fillId="5" borderId="3" xfId="0" applyNumberFormat="1" applyFont="1" applyFill="1" applyBorder="1" applyAlignment="1" applyProtection="1">
      <alignment horizontal="center" vertical="center"/>
      <protection locked="0" hidden="1"/>
    </xf>
    <xf numFmtId="175" fontId="17" fillId="5" borderId="34" xfId="0" applyNumberFormat="1" applyFont="1" applyFill="1" applyBorder="1" applyAlignment="1" applyProtection="1">
      <alignment horizontal="center" vertical="center"/>
      <protection locked="0" hidden="1"/>
    </xf>
    <xf numFmtId="49" fontId="29" fillId="0" borderId="0" xfId="0" applyNumberFormat="1" applyFont="1" applyAlignment="1" applyProtection="1">
      <alignment vertical="center"/>
      <protection hidden="1"/>
    </xf>
    <xf numFmtId="49" fontId="23" fillId="0" borderId="0" xfId="0" applyNumberFormat="1" applyFont="1" applyBorder="1" applyAlignment="1" applyProtection="1">
      <alignment horizontal="center" vertical="center"/>
      <protection hidden="1"/>
    </xf>
    <xf numFmtId="166" fontId="18" fillId="0" borderId="0" xfId="0" applyNumberFormat="1" applyFont="1" applyAlignment="1" applyProtection="1">
      <alignment horizontal="right" vertical="center"/>
      <protection hidden="1"/>
    </xf>
    <xf numFmtId="49" fontId="23" fillId="0" borderId="6" xfId="0" applyNumberFormat="1" applyFont="1" applyBorder="1" applyAlignment="1" applyProtection="1">
      <alignment horizontal="center" vertical="center"/>
      <protection hidden="1"/>
    </xf>
    <xf numFmtId="165" fontId="38" fillId="0" borderId="0" xfId="0" applyFont="1" applyAlignment="1" applyProtection="1">
      <alignment horizontal="left" vertical="center"/>
      <protection hidden="1"/>
    </xf>
    <xf numFmtId="178" fontId="18" fillId="0" borderId="0" xfId="0" applyNumberFormat="1" applyFont="1" applyAlignment="1" applyProtection="1">
      <alignment horizontal="center" vertical="center"/>
      <protection hidden="1"/>
    </xf>
    <xf numFmtId="165" fontId="38" fillId="0" borderId="0" xfId="0" quotePrefix="1" applyFont="1" applyAlignment="1" applyProtection="1">
      <alignment horizontal="left" vertical="center"/>
      <protection hidden="1"/>
    </xf>
    <xf numFmtId="1" fontId="39" fillId="0" borderId="0" xfId="0" applyNumberFormat="1" applyFont="1" applyAlignment="1" applyProtection="1">
      <alignment horizontal="left" vertical="center"/>
      <protection hidden="1"/>
    </xf>
    <xf numFmtId="165" fontId="38" fillId="0" borderId="0" xfId="0" quotePrefix="1" applyFont="1" applyBorder="1" applyAlignment="1" applyProtection="1">
      <alignment horizontal="left" vertical="center"/>
      <protection hidden="1"/>
    </xf>
    <xf numFmtId="165" fontId="39" fillId="0" borderId="0" xfId="0" quotePrefix="1" applyFont="1" applyAlignment="1" applyProtection="1">
      <alignment horizontal="left" vertical="center"/>
      <protection hidden="1"/>
    </xf>
    <xf numFmtId="49" fontId="18" fillId="0" borderId="6" xfId="0" applyNumberFormat="1" applyFont="1" applyBorder="1" applyAlignment="1" applyProtection="1">
      <alignment vertical="center"/>
      <protection hidden="1"/>
    </xf>
    <xf numFmtId="178" fontId="40" fillId="0" borderId="0" xfId="0" applyNumberFormat="1" applyFont="1" applyAlignment="1" applyProtection="1">
      <alignment horizontal="center"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165" fontId="34" fillId="2" borderId="0" xfId="0" applyFont="1" applyFill="1" applyAlignment="1" applyProtection="1">
      <alignment vertical="center"/>
      <protection hidden="1"/>
    </xf>
    <xf numFmtId="165" fontId="22" fillId="2" borderId="0" xfId="0" quotePrefix="1" applyFont="1" applyFill="1" applyBorder="1" applyAlignment="1" applyProtection="1">
      <alignment horizontal="left" vertical="center"/>
      <protection hidden="1"/>
    </xf>
    <xf numFmtId="168" fontId="18" fillId="2" borderId="0" xfId="0" applyNumberFormat="1" applyFont="1" applyFill="1" applyAlignment="1" applyProtection="1">
      <alignment horizontal="left" vertical="center"/>
      <protection hidden="1"/>
    </xf>
    <xf numFmtId="39" fontId="18" fillId="2" borderId="0" xfId="0" applyNumberFormat="1" applyFont="1" applyFill="1" applyAlignment="1" applyProtection="1">
      <alignment horizontal="right" vertical="center"/>
      <protection hidden="1"/>
    </xf>
    <xf numFmtId="39" fontId="29" fillId="2" borderId="0" xfId="0" applyNumberFormat="1" applyFont="1" applyFill="1" applyAlignment="1" applyProtection="1">
      <alignment horizontal="right" vertical="center"/>
      <protection hidden="1"/>
    </xf>
    <xf numFmtId="39" fontId="27" fillId="2" borderId="0" xfId="0" applyNumberFormat="1" applyFont="1" applyFill="1" applyAlignment="1" applyProtection="1">
      <alignment vertical="center"/>
      <protection hidden="1"/>
    </xf>
    <xf numFmtId="165" fontId="18" fillId="2" borderId="0" xfId="0" applyFont="1" applyFill="1" applyAlignment="1" applyProtection="1">
      <alignment vertical="center"/>
      <protection hidden="1"/>
    </xf>
    <xf numFmtId="49" fontId="18" fillId="2" borderId="0" xfId="0" applyNumberFormat="1" applyFont="1" applyFill="1" applyAlignment="1" applyProtection="1">
      <alignment vertical="center"/>
      <protection hidden="1"/>
    </xf>
    <xf numFmtId="49" fontId="17" fillId="0" borderId="0" xfId="0" applyNumberFormat="1" applyFont="1" applyAlignment="1" applyProtection="1">
      <alignment horizontal="center" vertical="center"/>
      <protection hidden="1"/>
    </xf>
    <xf numFmtId="165" fontId="22" fillId="2" borderId="0" xfId="0" applyFont="1" applyFill="1" applyBorder="1" applyAlignment="1" applyProtection="1">
      <alignment horizontal="left" vertical="center"/>
      <protection hidden="1"/>
    </xf>
    <xf numFmtId="165" fontId="17" fillId="2" borderId="0" xfId="0" applyFont="1" applyFill="1" applyBorder="1" applyAlignment="1" applyProtection="1">
      <alignment vertical="center"/>
      <protection hidden="1"/>
    </xf>
    <xf numFmtId="39" fontId="28" fillId="2" borderId="0" xfId="0" applyNumberFormat="1" applyFont="1" applyFill="1" applyAlignment="1" applyProtection="1">
      <alignment horizontal="right" vertical="center"/>
      <protection hidden="1"/>
    </xf>
    <xf numFmtId="49" fontId="17" fillId="0" borderId="0" xfId="0" quotePrefix="1" applyNumberFormat="1" applyFont="1" applyAlignment="1" applyProtection="1">
      <alignment horizontal="left" vertical="center"/>
      <protection hidden="1"/>
    </xf>
    <xf numFmtId="49" fontId="28" fillId="0" borderId="0" xfId="0" applyNumberFormat="1" applyFont="1" applyAlignment="1" applyProtection="1">
      <alignment vertical="center"/>
      <protection hidden="1"/>
    </xf>
    <xf numFmtId="49" fontId="41" fillId="0" borderId="0" xfId="0" applyNumberFormat="1" applyFont="1" applyAlignment="1" applyProtection="1">
      <alignment vertical="center"/>
      <protection hidden="1"/>
    </xf>
    <xf numFmtId="49" fontId="24" fillId="0" borderId="0" xfId="0" applyNumberFormat="1" applyFont="1" applyAlignment="1" applyProtection="1">
      <alignment horizontal="left" vertical="center"/>
      <protection hidden="1"/>
    </xf>
    <xf numFmtId="49" fontId="24" fillId="0" borderId="0" xfId="0" applyNumberFormat="1" applyFont="1" applyAlignment="1" applyProtection="1">
      <alignment vertical="center"/>
      <protection hidden="1"/>
    </xf>
    <xf numFmtId="49" fontId="34" fillId="0" borderId="0" xfId="0" applyNumberFormat="1" applyFont="1" applyProtection="1">
      <alignment vertical="center"/>
      <protection hidden="1"/>
    </xf>
    <xf numFmtId="49" fontId="42" fillId="0" borderId="0" xfId="0" applyNumberFormat="1" applyFont="1" applyAlignment="1" applyProtection="1">
      <alignment vertical="center"/>
      <protection hidden="1"/>
    </xf>
    <xf numFmtId="165" fontId="18" fillId="2" borderId="0" xfId="0" applyFont="1" applyFill="1" applyAlignment="1" applyProtection="1">
      <alignment horizontal="right" vertical="center"/>
      <protection hidden="1"/>
    </xf>
    <xf numFmtId="165" fontId="34" fillId="0" borderId="0" xfId="0" applyFont="1" applyProtection="1">
      <alignment vertical="center"/>
      <protection hidden="1"/>
    </xf>
    <xf numFmtId="49" fontId="40" fillId="2" borderId="1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L18208"/>
  <sheetViews>
    <sheetView tabSelected="1" zoomScale="216" zoomScaleNormal="216" workbookViewId="0">
      <selection activeCell="A28" sqref="A28"/>
    </sheetView>
  </sheetViews>
  <sheetFormatPr defaultColWidth="0" defaultRowHeight="12.75" zeroHeight="1" x14ac:dyDescent="0.15"/>
  <cols>
    <col min="1" max="1" width="10.375" style="16" customWidth="1"/>
    <col min="2" max="2" width="10.625" style="2" customWidth="1"/>
    <col min="3" max="3" width="10.625" style="24" customWidth="1"/>
    <col min="4" max="4" width="10.625" style="2" customWidth="1"/>
    <col min="5" max="5" width="10.625" style="24" customWidth="1"/>
    <col min="6" max="6" width="10.625" style="2" customWidth="1"/>
    <col min="7" max="7" width="5.125" style="2" customWidth="1"/>
    <col min="8" max="8" width="5.625" style="2" customWidth="1"/>
    <col min="9" max="9" width="15.625" style="16" customWidth="1"/>
    <col min="10" max="10" width="3.125" style="22" customWidth="1"/>
    <col min="11" max="11" width="12.875" style="2" customWidth="1"/>
    <col min="12" max="12" width="4.625" style="24" customWidth="1"/>
    <col min="13" max="13" width="12.375" style="25" customWidth="1"/>
    <col min="14" max="15" width="12.875" style="2" customWidth="1"/>
    <col min="16" max="16" width="17.125" style="16" customWidth="1"/>
    <col min="17" max="17" width="3" style="22" customWidth="1"/>
    <col min="18" max="18" width="15.125" style="17" customWidth="1"/>
    <col min="19" max="19" width="3.25" style="2" customWidth="1"/>
    <col min="20" max="20" width="17.625" style="16" customWidth="1"/>
    <col min="21" max="21" width="3" style="26" customWidth="1"/>
    <col min="22" max="22" width="15.125" style="17" customWidth="1"/>
    <col min="23" max="23" width="17.125" style="17" customWidth="1"/>
    <col min="24" max="24" width="2.75" style="17" customWidth="1"/>
    <col min="25" max="25" width="10.625" style="17" customWidth="1"/>
    <col min="26" max="26" width="2.75" style="17" customWidth="1"/>
    <col min="27" max="27" width="16.875" style="17" customWidth="1"/>
    <col min="28" max="28" width="2.75" style="17" customWidth="1"/>
    <col min="29" max="30" width="10.625" style="17" customWidth="1"/>
    <col min="31" max="31" width="19.875" style="60" customWidth="1"/>
    <col min="32" max="32" width="8.875" style="2" customWidth="1"/>
    <col min="33" max="34" width="12.125" style="17" customWidth="1"/>
    <col min="35" max="36" width="10.625" style="2" customWidth="1"/>
    <col min="37" max="37" width="3.625" style="2" customWidth="1"/>
    <col min="38" max="41" width="10.625" style="17" customWidth="1"/>
    <col min="42" max="42" width="8.375" style="2" customWidth="1"/>
    <col min="43" max="43" width="9.875" style="2" customWidth="1"/>
    <col min="44" max="44" width="9.875" style="17" customWidth="1"/>
    <col min="45" max="45" width="4.625" style="2" customWidth="1"/>
    <col min="46" max="46" width="10.625" style="2" customWidth="1"/>
    <col min="47" max="47" width="10.625" style="20" customWidth="1"/>
    <col min="48" max="48" width="10.625" style="17" customWidth="1"/>
    <col min="49" max="50" width="5.625" style="21" customWidth="1"/>
    <col min="51" max="51" width="10.625" style="20" customWidth="1"/>
    <col min="52" max="52" width="5.625" style="2" customWidth="1"/>
    <col min="53" max="53" width="10.375" style="20" customWidth="1"/>
    <col min="54" max="54" width="4.625" style="20" hidden="1" customWidth="1"/>
    <col min="55" max="71" width="4.625" style="2" hidden="1" customWidth="1"/>
    <col min="72" max="72" width="0.125" style="2" customWidth="1"/>
    <col min="73" max="16384" width="0" style="2" hidden="1"/>
  </cols>
  <sheetData>
    <row r="1" spans="1:90" ht="2.1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1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</row>
    <row r="2" spans="1:90" ht="8.25" customHeight="1" x14ac:dyDescent="0.15">
      <c r="A2" s="71" t="s">
        <v>197</v>
      </c>
      <c r="B2" s="72"/>
      <c r="C2" s="73"/>
      <c r="D2" s="74" t="s">
        <v>65</v>
      </c>
      <c r="E2" s="75" t="s">
        <v>66</v>
      </c>
      <c r="F2" s="76"/>
      <c r="G2" s="77" t="s">
        <v>189</v>
      </c>
      <c r="H2" s="78" t="s">
        <v>0</v>
      </c>
      <c r="I2" s="79" t="s">
        <v>106</v>
      </c>
      <c r="J2" s="80"/>
      <c r="K2" s="81"/>
      <c r="L2" s="82"/>
      <c r="M2" s="79"/>
      <c r="N2" s="81"/>
      <c r="O2" s="83" t="s">
        <v>190</v>
      </c>
      <c r="P2" s="79"/>
      <c r="Q2" s="80"/>
      <c r="R2" s="84" t="s">
        <v>199</v>
      </c>
      <c r="S2" s="85" t="str">
        <f>IF(G4="US","US",IF(G4="$S","$S",IF(G4="SF","SF",IF(G4="YJ","YJ",IF(G4="EP","EP",IF(G4="$O","$O",IF(G4="YC","YC",IF(G4="EU","EU"))))))))</f>
        <v>US</v>
      </c>
      <c r="T2" s="86" t="s">
        <v>125</v>
      </c>
      <c r="U2" s="87"/>
      <c r="V2" s="84" t="s">
        <v>191</v>
      </c>
      <c r="W2" s="88" t="s">
        <v>134</v>
      </c>
      <c r="X2" s="84"/>
      <c r="Y2" s="84"/>
      <c r="Z2" s="84"/>
      <c r="AA2" s="84"/>
      <c r="AB2" s="84"/>
      <c r="AC2" s="84"/>
      <c r="AD2" s="84" t="s">
        <v>192</v>
      </c>
      <c r="AE2" s="89" t="s">
        <v>229</v>
      </c>
      <c r="AF2" s="81"/>
      <c r="AG2" s="90"/>
      <c r="AH2" s="90"/>
      <c r="AI2" s="81"/>
      <c r="AJ2" s="84" t="s">
        <v>193</v>
      </c>
      <c r="AK2" s="79" t="s">
        <v>1</v>
      </c>
      <c r="AL2" s="79" t="s">
        <v>156</v>
      </c>
      <c r="AM2" s="90"/>
      <c r="AN2" s="90"/>
      <c r="AO2" s="90"/>
      <c r="AP2" s="91"/>
      <c r="AQ2" s="71"/>
      <c r="AR2" s="84" t="s">
        <v>194</v>
      </c>
      <c r="AS2" s="86" t="s">
        <v>1</v>
      </c>
      <c r="AT2" s="79" t="s">
        <v>202</v>
      </c>
      <c r="AU2" s="92"/>
      <c r="AV2" s="90"/>
      <c r="AW2" s="93"/>
      <c r="AX2" s="93"/>
      <c r="AY2" s="92"/>
      <c r="AZ2" s="81"/>
      <c r="BA2" s="94" t="s">
        <v>195</v>
      </c>
      <c r="BB2" s="95" t="s">
        <v>2</v>
      </c>
      <c r="BC2" s="33">
        <f>N11</f>
        <v>0</v>
      </c>
      <c r="BD2" s="34">
        <f>IF(G25=1,1)</f>
        <v>1</v>
      </c>
      <c r="BE2" s="34">
        <f>AND(G14&gt;20,G14&lt;=30)*0.018*BE6</f>
        <v>0</v>
      </c>
      <c r="BF2" s="34" t="s">
        <v>59</v>
      </c>
      <c r="BG2" s="34" t="b">
        <f>AX7&gt;0</f>
        <v>0</v>
      </c>
      <c r="BH2" s="34" t="b">
        <f>BD5=0</f>
        <v>1</v>
      </c>
      <c r="BI2" s="69" t="str">
        <f>IF(BD12+BE14+BH12+BD2+BD7+BE18+BF22=5,"OK!","")</f>
        <v/>
      </c>
      <c r="BJ2" s="34">
        <f>IF(G17="PE",1,0)</f>
        <v>0</v>
      </c>
      <c r="BK2" s="36" t="e">
        <f>BJ20/BJ25</f>
        <v>#DIV/0!</v>
      </c>
      <c r="BL2" s="34">
        <f>IF(BL3="",1,0)</f>
        <v>1</v>
      </c>
      <c r="BM2" s="34" t="e">
        <f>IF(AA7&lt;0,1,0)</f>
        <v>#DIV/0!</v>
      </c>
      <c r="BN2" s="66" t="e">
        <f>IF((BM4+BM5+BM11)*BH11=3,"YorN?            "," ")</f>
        <v>#DIV/0!</v>
      </c>
      <c r="BO2" s="34" t="e">
        <f>IF(AA12&lt;0,1,0)</f>
        <v>#DIV/0!</v>
      </c>
      <c r="BP2" s="66" t="e">
        <f>IF((BO4+BO5+BO11+BP9)*BH11=4,"YorN?         "," ")</f>
        <v>#DIV/0!</v>
      </c>
      <c r="BQ2" s="34" t="e">
        <f>((V14/(1+R11)*R11)-AG9)*BF4*BF18*-1</f>
        <v>#DIV/0!</v>
      </c>
      <c r="BR2" s="34" t="e">
        <f>(((V14+BA14)/(1+R11)*R11)-AG9)*BF4*BF18*-1</f>
        <v>#DIV/0!</v>
      </c>
      <c r="BS2" s="95" t="s">
        <v>3</v>
      </c>
      <c r="BT2" s="96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8.25" customHeight="1" x14ac:dyDescent="0.15">
      <c r="A3" s="97" t="s">
        <v>67</v>
      </c>
      <c r="B3" s="98" t="s">
        <v>4</v>
      </c>
      <c r="C3" s="98" t="s">
        <v>68</v>
      </c>
      <c r="D3" s="98" t="s">
        <v>15</v>
      </c>
      <c r="E3" s="98" t="s">
        <v>69</v>
      </c>
      <c r="F3" s="99" t="s">
        <v>70</v>
      </c>
      <c r="G3" s="100" t="s">
        <v>71</v>
      </c>
      <c r="H3" s="101" t="s">
        <v>56</v>
      </c>
      <c r="I3" s="102" t="s">
        <v>99</v>
      </c>
      <c r="J3" s="103" t="s">
        <v>5</v>
      </c>
      <c r="K3" s="34" t="str">
        <f>IF(F2=" "," ",F2)</f>
        <v xml:space="preserve"> </v>
      </c>
      <c r="L3" s="104"/>
      <c r="M3" s="102" t="s">
        <v>6</v>
      </c>
      <c r="N3" s="105" t="str">
        <f>IF(B4="","",B4)</f>
        <v/>
      </c>
      <c r="O3" s="103" t="s">
        <v>15</v>
      </c>
      <c r="P3" s="102" t="s">
        <v>110</v>
      </c>
      <c r="Q3" s="106"/>
      <c r="R3" s="107" t="str">
        <f>N3</f>
        <v/>
      </c>
      <c r="S3" s="108"/>
      <c r="T3" s="109" t="str">
        <f>IF(BH12+BD3+BD4=2,"SITUATION &gt;&gt;PHASE 2&lt;&lt;",BD21)</f>
        <v>SITUATION &gt;&gt; PHASE 1 &lt;&lt;</v>
      </c>
      <c r="U3" s="87"/>
      <c r="V3" s="110" t="str">
        <f>IF(BD3+BD7+BD12+BE14=3,"BASE PRICE",IF(BD2+BD3+BD4+BD8+BD12+BE14=3,"BASE PRICE (REF)",IF(BD2+BD3+BL4=2,"BASE COST",IF(BD3+BD7+BF13=1,"BASE PRICE","BASE PRICE (REF)"))))</f>
        <v>BASE PRICE</v>
      </c>
      <c r="W3" s="111" t="s">
        <v>139</v>
      </c>
      <c r="X3" s="112"/>
      <c r="Y3" s="113"/>
      <c r="Z3" s="114"/>
      <c r="AA3" s="114"/>
      <c r="AB3" s="115" t="str">
        <f>IF(BH11=1,"TOTAL COSTS BY RESALE","COSTS DIRECT IMPORT")</f>
        <v>TOTAL COSTS BY RESALE</v>
      </c>
      <c r="AC3" s="90"/>
      <c r="AD3" s="114"/>
      <c r="AE3" s="116" t="s">
        <v>135</v>
      </c>
      <c r="AF3" s="117"/>
      <c r="AG3" s="118"/>
      <c r="AH3" s="119" t="s">
        <v>16</v>
      </c>
      <c r="AI3" s="120" t="str">
        <f>IF(AH3="N","&lt;&lt;&lt;= ???","")</f>
        <v>&lt;&lt;&lt;= ???</v>
      </c>
      <c r="AJ3" s="93"/>
      <c r="AK3" s="121" t="s">
        <v>157</v>
      </c>
      <c r="AL3" s="122"/>
      <c r="AM3" s="123" t="str">
        <f>IF(BL2=0,"???",IF(BD12+BE14+BH12+BD2=2,"PHASE 1",IF(BH12+BD3=2,"PHASE 2",IF(BD4+BH12=1,"PHASE 3",BD16))))</f>
        <v>PHASE 1</v>
      </c>
      <c r="AN3" s="123" t="str">
        <f>IF(AM3="PHASE 1","PRICE",IF(BF18+BD7=2,"PRICE",IF(BF18+BD8=2,"MARGIN",IF(AM3="???"," "))))</f>
        <v>PRICE</v>
      </c>
      <c r="AO3" s="124" t="str">
        <f>IF(BD3+BL8=0," SALES BY A GLOBAL VALUE",IF(BH11=0," DIRECT IMPORT"," "))</f>
        <v xml:space="preserve"> </v>
      </c>
      <c r="AP3" s="125"/>
      <c r="AQ3" s="126"/>
      <c r="AR3" s="122"/>
      <c r="AS3" s="127" t="s">
        <v>165</v>
      </c>
      <c r="AT3" s="128"/>
      <c r="AU3" s="129"/>
      <c r="AV3" s="119" t="s">
        <v>16</v>
      </c>
      <c r="AW3" s="130"/>
      <c r="AX3" s="131" t="str">
        <f>IF(AV3="N","&lt;&lt;&lt;=     ???   "," ")</f>
        <v xml:space="preserve">&lt;&lt;&lt;=     ???   </v>
      </c>
      <c r="AY3" s="128"/>
      <c r="AZ3" s="128"/>
      <c r="BA3" s="128"/>
      <c r="BB3" s="95" t="s">
        <v>2</v>
      </c>
      <c r="BC3" s="36" t="e">
        <f>B11*B7*(N11/K5)/BC2</f>
        <v>#DIV/0!</v>
      </c>
      <c r="BD3" s="34" t="b">
        <f>IF(G25=2,1)</f>
        <v>0</v>
      </c>
      <c r="BE3" s="34">
        <f>AND(G14&lt;=5)*0.01*BE7</f>
        <v>0</v>
      </c>
      <c r="BF3" s="34" t="e">
        <f>BF4=0</f>
        <v>#DIV/0!</v>
      </c>
      <c r="BG3" s="34" t="b">
        <f>AX8&gt;0</f>
        <v>0</v>
      </c>
      <c r="BH3" s="34" t="s">
        <v>59</v>
      </c>
      <c r="BI3" s="63" t="str">
        <f>IF(BD12+BE14+BH12+BD3+BD7+BD8+BE18+BH13-BH17=5,"F-5","")</f>
        <v/>
      </c>
      <c r="BJ3" s="44">
        <f>((1+B16*((B12+B13*(1+B12))))/((1-B14-B15)*(1-B16)))</f>
        <v>1</v>
      </c>
      <c r="BK3" s="36" t="e">
        <f>BJ21/BJ25</f>
        <v>#DIV/0!</v>
      </c>
      <c r="BL3" s="69" t="str">
        <f>CONCATENATE(BI3,BI4,BI5,BI6,BI7,BI8,BI9,BI10)</f>
        <v/>
      </c>
      <c r="BM3" s="34" t="e">
        <f>IF(AA7+BQ15=0,1,0)</f>
        <v>#DIV/0!</v>
      </c>
      <c r="BN3" s="64" t="e">
        <f>IF((BM4+BM6+BM10)*BH11=3,"???               "," ")</f>
        <v>#DIV/0!</v>
      </c>
      <c r="BO3" s="34" t="e">
        <f>IF(AA12=0,1,0)</f>
        <v>#DIV/0!</v>
      </c>
      <c r="BP3" s="64" t="e">
        <f>IF((BO4+BO6+BO10+BP9)*BH11=4,"???           "," ")</f>
        <v>#DIV/0!</v>
      </c>
      <c r="BQ3" s="34" t="e">
        <f>((V14*R12)-AG10)*BF7*BD12*BF18*-1</f>
        <v>#DIV/0!</v>
      </c>
      <c r="BR3" s="34" t="e">
        <f>(((V14+BA14)*R12)-AG10)*BF7*BD12*BF18*-1</f>
        <v>#DIV/0!</v>
      </c>
      <c r="BS3" s="95" t="s">
        <v>3</v>
      </c>
      <c r="BT3" s="96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8.25" customHeight="1" x14ac:dyDescent="0.15">
      <c r="A4" s="132"/>
      <c r="B4" s="133"/>
      <c r="C4" s="134"/>
      <c r="D4" s="134"/>
      <c r="E4" s="135"/>
      <c r="F4" s="136"/>
      <c r="G4" s="137" t="s">
        <v>35</v>
      </c>
      <c r="H4" s="138" t="s">
        <v>98</v>
      </c>
      <c r="I4" s="102" t="s">
        <v>73</v>
      </c>
      <c r="J4" s="103" t="s">
        <v>5</v>
      </c>
      <c r="K4" s="139">
        <f>(SUM(B7:F7))*BD9</f>
        <v>0</v>
      </c>
      <c r="L4" s="140"/>
      <c r="M4" s="141" t="s">
        <v>70</v>
      </c>
      <c r="N4" s="142" t="str">
        <f>IF(F4="","",F4)</f>
        <v/>
      </c>
      <c r="O4" s="34" t="str">
        <f>IF(D4="","",D4)</f>
        <v/>
      </c>
      <c r="P4" s="102" t="s">
        <v>111</v>
      </c>
      <c r="Q4" s="103" t="s">
        <v>5</v>
      </c>
      <c r="R4" s="107" t="str">
        <f>N6</f>
        <v/>
      </c>
      <c r="S4" s="108"/>
      <c r="T4" s="143" t="str">
        <f>IF(BD2*BL4=1,"STATUS ESTIMATE IN",IF(BF13=0,"STATUS ESTIMATE IN","STATUS EFFECTIVE  IN"))</f>
        <v>STATUS ESTIMATE IN</v>
      </c>
      <c r="U4" s="144" t="s">
        <v>5</v>
      </c>
      <c r="V4" s="145" t="str">
        <f>IF(AF8=0,N7,AF8)</f>
        <v/>
      </c>
      <c r="W4" s="146" t="str">
        <f>IF(BD2=1,"BASE PRICE IN ACTION","COMPARATIVE VALUES")</f>
        <v>BASE PRICE IN ACTION</v>
      </c>
      <c r="X4" s="147"/>
      <c r="Y4" s="147"/>
      <c r="Z4" s="90"/>
      <c r="AA4" s="103" t="s">
        <v>207</v>
      </c>
      <c r="AB4" s="115" t="str">
        <f>IF(G25=1," ",IF(BL4=1,"PHASE 2 IN ACTION",IF(G25=2,"PHASE 2 IN ACTION",IF(G25=3,"PHASE 3 IN ACTION"))))</f>
        <v xml:space="preserve"> </v>
      </c>
      <c r="AC4" s="114"/>
      <c r="AD4" s="126" t="str">
        <f>IF(G25=1," ",IF(AC22=0," ",IF(H25="P","BASE PRICE",IF(H25="M","BASE MARGIN"))))</f>
        <v xml:space="preserve"> </v>
      </c>
      <c r="AE4" s="89" t="s">
        <v>136</v>
      </c>
      <c r="AF4" s="148" t="s">
        <v>67</v>
      </c>
      <c r="AG4" s="148" t="s">
        <v>137</v>
      </c>
      <c r="AH4" s="148" t="s">
        <v>138</v>
      </c>
      <c r="AI4" s="148" t="s">
        <v>140</v>
      </c>
      <c r="AJ4" s="148" t="s">
        <v>140</v>
      </c>
      <c r="AK4" s="86" t="s">
        <v>8</v>
      </c>
      <c r="AL4" s="148" t="s">
        <v>72</v>
      </c>
      <c r="AM4" s="149" t="str">
        <f>IF(G4="US","PRICE FOB US",IF(G4="$S","PRICE FOB $S",IF(G4="SF","PRICE FOB SF",IF(G4="YJ","PRICE FOB YJ",IF(G4="EP","PRICE FOB EP",IF(G4="$O","PRICE FOB $O",IF(G4="YC","PRICE FOB YC",IF(G4="EU","PRICE FOB EU"))))))))</f>
        <v>PRICE FOB US</v>
      </c>
      <c r="AN4" s="148" t="s">
        <v>159</v>
      </c>
      <c r="AO4" s="148" t="s">
        <v>223</v>
      </c>
      <c r="AP4" s="148" t="s">
        <v>73</v>
      </c>
      <c r="AQ4" s="149" t="str">
        <f>IF(G4="US","TOT FOB US",IF(G4="$S","TOT FOB $S",IF(G4="SF","TOT FOB SF",IF(G4="YJ","TOT FOB YJ",IF(G4="EP","TOT FOB EP",IF(G4="$O","TOT FOB $O",IF(G4="YC","TOT FOB YC",IF(G4="EU","TOT FOB EU"))))))))</f>
        <v>TOT FOB US</v>
      </c>
      <c r="AR4" s="148" t="s">
        <v>160</v>
      </c>
      <c r="AS4" s="91"/>
      <c r="AT4" s="81"/>
      <c r="AU4" s="92"/>
      <c r="AV4" s="90"/>
      <c r="AW4" s="93"/>
      <c r="AX4" s="93"/>
      <c r="AY4" s="92"/>
      <c r="AZ4" s="81"/>
      <c r="BA4" s="92"/>
      <c r="BB4" s="95" t="s">
        <v>2</v>
      </c>
      <c r="BC4" s="36" t="e">
        <f>C11*C7*(N11/K5)/BC2</f>
        <v>#DIV/0!</v>
      </c>
      <c r="BD4" s="34" t="b">
        <f>IF(G25=3,1)</f>
        <v>0</v>
      </c>
      <c r="BE4" s="34">
        <f>AND(G14&gt;5,G14&lt;=10)*0.015*BE7</f>
        <v>0</v>
      </c>
      <c r="BF4" s="34" t="e">
        <f>Y7&gt;=Y6</f>
        <v>#DIV/0!</v>
      </c>
      <c r="BG4" s="34" t="b">
        <f>AX9&gt;0</f>
        <v>0</v>
      </c>
      <c r="BH4" s="34" t="s">
        <v>59</v>
      </c>
      <c r="BI4" s="63" t="str">
        <f>IF(BD12+BE14+BH12+BD3+BD4+BD7+BD8+BE18+BF22-BI19-BI20=5,"F-5","")</f>
        <v/>
      </c>
      <c r="BJ4" s="44">
        <f>((1+C16*((C12+C13*(1+C12))))/((1-C14-C15)*(1-C16)))</f>
        <v>1</v>
      </c>
      <c r="BK4" s="36" t="e">
        <f>BJ22/BJ25</f>
        <v>#DIV/0!</v>
      </c>
      <c r="BL4" s="34">
        <f>IF(G16="D",1,0)</f>
        <v>0</v>
      </c>
      <c r="BM4" s="34" t="e">
        <f>IF(AA7&gt;0,1,0)</f>
        <v>#DIV/0!</v>
      </c>
      <c r="BN4" s="65" t="e">
        <f>IF(Y6+Y7=0,"OK!                "," ")</f>
        <v>#DIV/0!</v>
      </c>
      <c r="BO4" s="34" t="e">
        <f>IF(AA12&gt;0,1,0)</f>
        <v>#DIV/0!</v>
      </c>
      <c r="BP4" s="64" t="e">
        <f>IF((BO4+BO7+BO9+BP8)*BH11=4,"OK!             "," ")</f>
        <v>#DIV/0!</v>
      </c>
      <c r="BQ4" s="34" t="e">
        <f>((V14/(1+R11)*R12)-AG10)*BF9*BE14*BF18*-1</f>
        <v>#DIV/0!</v>
      </c>
      <c r="BR4" s="34" t="e">
        <f>(((V14+BA14)/(1+R11)*R12)-AG10)*BF9*BE14*BF18*-1</f>
        <v>#DIV/0!</v>
      </c>
      <c r="BS4" s="95" t="s">
        <v>3</v>
      </c>
      <c r="BT4" s="96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</row>
    <row r="5" spans="1:90" ht="8.25" customHeight="1" x14ac:dyDescent="0.15">
      <c r="A5" s="141" t="s">
        <v>91</v>
      </c>
      <c r="B5" s="150" t="s">
        <v>7</v>
      </c>
      <c r="C5" s="150" t="s">
        <v>10</v>
      </c>
      <c r="D5" s="150" t="s">
        <v>11</v>
      </c>
      <c r="E5" s="150" t="s">
        <v>12</v>
      </c>
      <c r="F5" s="151" t="s">
        <v>13</v>
      </c>
      <c r="G5" s="152" t="s">
        <v>87</v>
      </c>
      <c r="H5" s="153"/>
      <c r="I5" s="102" t="s">
        <v>14</v>
      </c>
      <c r="J5" s="103" t="s">
        <v>5</v>
      </c>
      <c r="K5" s="139">
        <f>IF(K7+K8=0,0,(((B7*B11)+(C7*C11)+(D7*D11)+(E7*E11)+(F7*F11))*BD9))</f>
        <v>0</v>
      </c>
      <c r="L5" s="154" t="str">
        <f>G4</f>
        <v>US</v>
      </c>
      <c r="M5" s="102" t="s">
        <v>196</v>
      </c>
      <c r="N5" s="34" t="str">
        <f>G4</f>
        <v>US</v>
      </c>
      <c r="O5" s="103" t="s">
        <v>69</v>
      </c>
      <c r="P5" s="102" t="str">
        <f>IF(G4="US","EXCHANGE  US",IF(G4="$S","EXCHANGE  $S",IF(G4="SF","EXCHANGE  SF",IF(G4="YJ","EXCHANGE  YJ",IF(G4="EP","EXCHANGE  EP",IF(G4="$O","EXCHANGE  $O",IF(G4="YC","EXCHANGE  YC",IF(G4="EU","EXCHANGE  EU"))))))))</f>
        <v>EXCHANGE  US</v>
      </c>
      <c r="Q5" s="103" t="s">
        <v>5</v>
      </c>
      <c r="R5" s="155">
        <f>K14</f>
        <v>0</v>
      </c>
      <c r="S5" s="108"/>
      <c r="T5" s="143" t="str">
        <f>IF(BD2*BL4=1,"ESTIM EXCHANGE RATE",IF(BF13=0,"ESTIM EXCHANGE RATE","EFFEC EXCHANGE RATE"))</f>
        <v>ESTIM EXCHANGE RATE</v>
      </c>
      <c r="U5" s="114" t="str">
        <f>G4</f>
        <v>US</v>
      </c>
      <c r="V5" s="156" t="e">
        <f>IF(BD2*BL4=1,R5,(AG24/K5/N22*BF13)+(AH24/K5/N22*BD7*BF17))</f>
        <v>#DIV/0!</v>
      </c>
      <c r="W5" s="157"/>
      <c r="X5" s="158"/>
      <c r="Y5" s="159" t="str">
        <f>IF(BD3+BD4=1,"               TAXES AND FEES TO BE COLLECTED"," ")</f>
        <v xml:space="preserve"> </v>
      </c>
      <c r="Z5" s="160"/>
      <c r="AA5" s="161"/>
      <c r="AB5" s="162" t="str">
        <f>IF(BD2=1," ","=&gt;")</f>
        <v xml:space="preserve"> </v>
      </c>
      <c r="AC5" s="163" t="str">
        <f>IF(BD8=1,"=&gt;&gt;&gt;",IF(BD2=1," ","EFFECTIVE"))</f>
        <v xml:space="preserve"> </v>
      </c>
      <c r="AD5" s="163" t="str">
        <f>IF(BD8=1,"EFFETIVE"," ")</f>
        <v xml:space="preserve"> </v>
      </c>
      <c r="AE5" s="164" t="s">
        <v>141</v>
      </c>
      <c r="AF5" s="165"/>
      <c r="AG5" s="166">
        <f>AH5</f>
        <v>0</v>
      </c>
      <c r="AH5" s="167">
        <v>0</v>
      </c>
      <c r="AI5" s="168">
        <f>(AG5-AH5)*BF13</f>
        <v>0</v>
      </c>
      <c r="AJ5" s="169">
        <f>AI5/(AH5+BF21)</f>
        <v>0</v>
      </c>
      <c r="AK5" s="170" t="s">
        <v>7</v>
      </c>
      <c r="AL5" s="171" t="str">
        <f>B6</f>
        <v>AA</v>
      </c>
      <c r="AM5" s="168">
        <f>IF(BL8+BH13=0,0,B11)</f>
        <v>0</v>
      </c>
      <c r="AN5" s="168" t="e">
        <f>IF(BL8+BH13=0,0,B25)</f>
        <v>#DIV/0!</v>
      </c>
      <c r="AO5" s="168" t="e">
        <f>AN5/(1+B17)*BH11</f>
        <v>#DIV/0!</v>
      </c>
      <c r="AP5" s="172">
        <f>IF(BL8+BH13=0,0,B7)</f>
        <v>0</v>
      </c>
      <c r="AQ5" s="168">
        <f>AM5*AP5</f>
        <v>0</v>
      </c>
      <c r="AR5" s="168" t="e">
        <f>AN5*AP5</f>
        <v>#DIV/0!</v>
      </c>
      <c r="AS5" s="173"/>
      <c r="AT5" s="174"/>
      <c r="AU5" s="174"/>
      <c r="AV5" s="175"/>
      <c r="AW5" s="176" t="s">
        <v>53</v>
      </c>
      <c r="AX5" s="177" t="s">
        <v>23</v>
      </c>
      <c r="AY5" s="178"/>
      <c r="AZ5" s="176"/>
      <c r="BA5" s="128"/>
      <c r="BB5" s="95" t="s">
        <v>2</v>
      </c>
      <c r="BC5" s="36" t="e">
        <f>D11*D7*(N11/K5)/BC2</f>
        <v>#DIV/0!</v>
      </c>
      <c r="BD5" s="34" t="b">
        <f>AND(G25=1,H25="M")</f>
        <v>0</v>
      </c>
      <c r="BE5" s="34">
        <f>AND(G14&gt;10,G14&lt;=20)*0.03*BE7</f>
        <v>0</v>
      </c>
      <c r="BF5" s="34" t="s">
        <v>59</v>
      </c>
      <c r="BG5" s="34" t="b">
        <f>AX10&gt;0</f>
        <v>0</v>
      </c>
      <c r="BH5" s="34" t="s">
        <v>59</v>
      </c>
      <c r="BI5" s="63" t="str">
        <f>IF(BD12+BE14+BD4+BD7+BD8+BE18+BH13=5,"F-7","")</f>
        <v/>
      </c>
      <c r="BJ5" s="44">
        <f>((1+D16*((D12+D13*(1+D12))))/((1-D14-D15)*(1-D16)))</f>
        <v>1</v>
      </c>
      <c r="BK5" s="36" t="e">
        <f>BJ23/BJ25</f>
        <v>#DIV/0!</v>
      </c>
      <c r="BL5" s="34" t="s">
        <v>59</v>
      </c>
      <c r="BM5" s="34" t="e">
        <f>IF(AA10&lt;0,1,0)</f>
        <v>#DIV/0!</v>
      </c>
      <c r="BN5" s="34" t="s">
        <v>59</v>
      </c>
      <c r="BO5" s="34" t="e">
        <f>IF(AA14&lt;0,1,0)</f>
        <v>#DIV/0!</v>
      </c>
      <c r="BP5" s="64" t="e">
        <f>IF((BO4+BO7+BO8+BP8)*BH11=4,"n/Fc.               "," ")</f>
        <v>#DIV/0!</v>
      </c>
      <c r="BQ5" s="34" t="e">
        <f>((V14*(1-R11)*R13)-AG11)*BK7*BK14*BF18*-1</f>
        <v>#DIV/0!</v>
      </c>
      <c r="BR5" s="34" t="e">
        <f>(((V14-BA14)*(1-R11)*R13)-AG11)*BK7*BK14*BF18*-1</f>
        <v>#DIV/0!</v>
      </c>
      <c r="BS5" s="95" t="s">
        <v>3</v>
      </c>
      <c r="BT5" s="96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</row>
    <row r="6" spans="1:90" ht="8.25" customHeight="1" x14ac:dyDescent="0.15">
      <c r="A6" s="141" t="s">
        <v>72</v>
      </c>
      <c r="B6" s="134" t="s">
        <v>42</v>
      </c>
      <c r="C6" s="134" t="s">
        <v>43</v>
      </c>
      <c r="D6" s="134" t="s">
        <v>44</v>
      </c>
      <c r="E6" s="134" t="s">
        <v>45</v>
      </c>
      <c r="F6" s="136" t="s">
        <v>46</v>
      </c>
      <c r="G6" s="179">
        <v>0</v>
      </c>
      <c r="H6" s="180">
        <v>0</v>
      </c>
      <c r="I6" s="102" t="s">
        <v>80</v>
      </c>
      <c r="J6" s="103" t="s">
        <v>5</v>
      </c>
      <c r="K6" s="139">
        <f>B19*BD9</f>
        <v>0</v>
      </c>
      <c r="L6" s="171"/>
      <c r="M6" s="102" t="s">
        <v>68</v>
      </c>
      <c r="N6" s="34" t="str">
        <f>IF(C4="","",C4)</f>
        <v/>
      </c>
      <c r="O6" s="181" t="str">
        <f>IF(E4="","",E4)</f>
        <v/>
      </c>
      <c r="P6" s="102" t="s">
        <v>101</v>
      </c>
      <c r="Q6" s="103" t="s">
        <v>5</v>
      </c>
      <c r="R6" s="182">
        <f>K15</f>
        <v>0</v>
      </c>
      <c r="S6" s="108"/>
      <c r="T6" s="143" t="str">
        <f>IF(BD2*BL4=1,"ESTIM EXCHANGE RATE",IF(BF13=0,"ESTIM EXCHANGE RATE","EFFEC EXCHANGE RATE"))</f>
        <v>ESTIM EXCHANGE RATE</v>
      </c>
      <c r="U6" s="144" t="s">
        <v>35</v>
      </c>
      <c r="V6" s="156">
        <f>IF(BD2*BL4=1,R6,(AG23*BF13)+(AH23*BD7*BF17))</f>
        <v>0</v>
      </c>
      <c r="W6" s="183" t="s">
        <v>237</v>
      </c>
      <c r="X6" s="184" t="s">
        <v>5</v>
      </c>
      <c r="Y6" s="185" t="e">
        <f>R9/(1+R11)*R11*BF20*BH11</f>
        <v>#DIV/0!</v>
      </c>
      <c r="Z6" s="186" t="s">
        <v>47</v>
      </c>
      <c r="AA6" s="187" t="e">
        <f>IF(BM3*BH11=0," ","FUTURE CREDIT !!!")</f>
        <v>#DIV/0!</v>
      </c>
      <c r="AB6" s="188" t="s">
        <v>34</v>
      </c>
      <c r="AC6" s="189" t="e">
        <f>((((V14/(1+R11)*R11)-AG9)*BF18)*(BD3*(BD7+BD8)*BQ7))+((((V14/(1+R11)*R11*(1+AZ14))-AG9)*BF18)*(BD4*(BD7+BD8)*BQ7))</f>
        <v>#DIV/0!</v>
      </c>
      <c r="AD6" s="189">
        <f>IF((BD3+BD4)*BD8=1,((((R9/(1+R11)*R11)-AG9)*BF18)*(BD3*(BD7+BD8)*BQ7))+((((R9/(1+R11)*R11*(1+AZ14))-AG9)*BF18)*(BD4*(BD7+BD8)*BQ7)),0)</f>
        <v>0</v>
      </c>
      <c r="AE6" s="190" t="s">
        <v>142</v>
      </c>
      <c r="AF6" s="165"/>
      <c r="AG6" s="166">
        <f t="shared" ref="AG6:AG23" si="0">AH6</f>
        <v>0</v>
      </c>
      <c r="AH6" s="182">
        <f>(K5*K14)-AH5</f>
        <v>0</v>
      </c>
      <c r="AI6" s="168">
        <f>(AG6-AH6)*BF13</f>
        <v>0</v>
      </c>
      <c r="AJ6" s="169">
        <f>AI6/(AH6+BF21)</f>
        <v>0</v>
      </c>
      <c r="AK6" s="170" t="s">
        <v>10</v>
      </c>
      <c r="AL6" s="171" t="str">
        <f>C6</f>
        <v>BB</v>
      </c>
      <c r="AM6" s="168">
        <f>IF(BL8+BH13=0,0,C11)</f>
        <v>0</v>
      </c>
      <c r="AN6" s="168" t="e">
        <f>IF(BL8+BH13=0,0,C25)</f>
        <v>#DIV/0!</v>
      </c>
      <c r="AO6" s="168" t="e">
        <f>AN6/(1+B17)*BH11</f>
        <v>#DIV/0!</v>
      </c>
      <c r="AP6" s="172">
        <f>IF(BL8+BH13=0,0,C7)</f>
        <v>0</v>
      </c>
      <c r="AQ6" s="168">
        <f>AM6*AP6</f>
        <v>0</v>
      </c>
      <c r="AR6" s="168" t="e">
        <f>AN6*AP6</f>
        <v>#DIV/0!</v>
      </c>
      <c r="AS6" s="191" t="s">
        <v>230</v>
      </c>
      <c r="AT6" s="178"/>
      <c r="AU6" s="192"/>
      <c r="AV6" s="174"/>
      <c r="AW6" s="193" t="str">
        <f>IF(AX6&gt;0,"TOT.","=&gt;&gt;&gt;")</f>
        <v>=&gt;&gt;&gt;</v>
      </c>
      <c r="AX6" s="194"/>
      <c r="AY6" s="176" t="str">
        <f>IF(AV3="N","DISC   ???","")</f>
        <v>DISC   ???</v>
      </c>
      <c r="AZ6" s="195"/>
      <c r="BA6" s="196"/>
      <c r="BB6" s="95" t="s">
        <v>2</v>
      </c>
      <c r="BC6" s="36" t="e">
        <f>E11*E7*(N11/K5)/BC2</f>
        <v>#DIV/0!</v>
      </c>
      <c r="BD6" s="34">
        <f>IF(BF14=0,0,IF(BG7=0,0,IF(G25=1,0,IF(G25=2,0,IF(AY10="F-5  ???",0,1)))))</f>
        <v>0</v>
      </c>
      <c r="BE6" s="34" t="b">
        <f>D19&gt;0</f>
        <v>0</v>
      </c>
      <c r="BF6" s="34" t="e">
        <f>BF7=0</f>
        <v>#DIV/0!</v>
      </c>
      <c r="BG6" s="34" t="b">
        <f>AX11&gt;0</f>
        <v>0</v>
      </c>
      <c r="BH6" s="34">
        <f>BG7*BF14*BD4*BD8*BH8</f>
        <v>0</v>
      </c>
      <c r="BI6" s="63" t="str">
        <f>IF(BD12+BE14+BD4+BD7+BD8+BF13+BH13=5,"F-7","")</f>
        <v/>
      </c>
      <c r="BJ6" s="44">
        <f>((1+E16*((E12+E13*(1+E12))))/((1-E14-E15)*(1-E16)))</f>
        <v>1</v>
      </c>
      <c r="BK6" s="36" t="e">
        <f>BJ24/BJ25</f>
        <v>#DIV/0!</v>
      </c>
      <c r="BL6" s="34" t="s">
        <v>59</v>
      </c>
      <c r="BM6" s="34" t="e">
        <f>IF(AA10=0,1,0)</f>
        <v>#DIV/0!</v>
      </c>
      <c r="BN6" s="34" t="s">
        <v>59</v>
      </c>
      <c r="BO6" s="34" t="e">
        <f>IF(AA14=0,1,0)</f>
        <v>#DIV/0!</v>
      </c>
      <c r="BP6" s="64" t="e">
        <f>IF((BO4+BO7+BO10+BP8)*BH11=4,"n/Fc.                 "," ")</f>
        <v>#DIV/0!</v>
      </c>
      <c r="BQ6" s="34" t="e">
        <f>((V14*(1-R11)*R14)-AG12)*BK7*BK17*BF18*-1</f>
        <v>#DIV/0!</v>
      </c>
      <c r="BR6" s="34" t="e">
        <f>(((V14+BA14)*(1-R11)*R14)-AG12)*BK7*BK17*BF18*-1</f>
        <v>#DIV/0!</v>
      </c>
      <c r="BS6" s="95" t="s">
        <v>3</v>
      </c>
      <c r="BT6" s="96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</row>
    <row r="7" spans="1:90" ht="8.25" customHeight="1" x14ac:dyDescent="0.15">
      <c r="A7" s="102" t="s">
        <v>73</v>
      </c>
      <c r="B7" s="197"/>
      <c r="C7" s="197"/>
      <c r="D7" s="197"/>
      <c r="E7" s="197"/>
      <c r="F7" s="197"/>
      <c r="G7" s="198" t="s">
        <v>16</v>
      </c>
      <c r="H7" s="199" t="s">
        <v>205</v>
      </c>
      <c r="I7" s="102" t="s">
        <v>186</v>
      </c>
      <c r="J7" s="103" t="s">
        <v>5</v>
      </c>
      <c r="K7" s="139">
        <f>IF(C19="??? =&gt;&gt;&gt;",0,IF(C19="n/Fc. =&gt;&gt;&gt;",0,D19*BD9))</f>
        <v>0</v>
      </c>
      <c r="L7" s="154" t="str">
        <f>G4</f>
        <v>US</v>
      </c>
      <c r="M7" s="102" t="s">
        <v>208</v>
      </c>
      <c r="N7" s="200" t="str">
        <f>IF(A4="","",A4)</f>
        <v/>
      </c>
      <c r="O7" s="201" t="str">
        <f>IF(BF13=0,N7,AF8)</f>
        <v/>
      </c>
      <c r="P7" s="102" t="s">
        <v>112</v>
      </c>
      <c r="Q7" s="103" t="s">
        <v>5</v>
      </c>
      <c r="R7" s="202">
        <f>D22</f>
        <v>0</v>
      </c>
      <c r="S7" s="108"/>
      <c r="T7" s="115" t="s">
        <v>123</v>
      </c>
      <c r="U7" s="144" t="s">
        <v>5</v>
      </c>
      <c r="V7" s="168">
        <f>IF(BD2*BL4=1,K5*R5,((AG5+AG6)*BF13)+((AH5+AH6)*BD7*BF17))</f>
        <v>0</v>
      </c>
      <c r="W7" s="203" t="s">
        <v>126</v>
      </c>
      <c r="X7" s="204" t="s">
        <v>5</v>
      </c>
      <c r="Y7" s="205" t="e">
        <f>((N13-N12)*R5*BF20)</f>
        <v>#DIV/0!</v>
      </c>
      <c r="Z7" s="206" t="s">
        <v>5</v>
      </c>
      <c r="AA7" s="207" t="e">
        <f>((Y6-Y7)*BF3)+((Y6-Y7)*BF4*BE12)*BH11</f>
        <v>#DIV/0!</v>
      </c>
      <c r="AB7" s="208"/>
      <c r="AC7" s="209"/>
      <c r="AD7" s="210"/>
      <c r="AE7" s="190" t="s">
        <v>143</v>
      </c>
      <c r="AF7" s="165"/>
      <c r="AG7" s="166">
        <f t="shared" si="0"/>
        <v>0</v>
      </c>
      <c r="AH7" s="182">
        <f>(K6*K7*BE16*K14)+(K6*K8*BE17*K14)</f>
        <v>0</v>
      </c>
      <c r="AI7" s="168">
        <f>(AG7-AH7)*BF13</f>
        <v>0</v>
      </c>
      <c r="AJ7" s="169">
        <f>AI7/(AH7+BF21)</f>
        <v>0</v>
      </c>
      <c r="AK7" s="170" t="s">
        <v>11</v>
      </c>
      <c r="AL7" s="171" t="str">
        <f>D6</f>
        <v>CC</v>
      </c>
      <c r="AM7" s="168">
        <f>IF(BL8+BH13=0,0,D11)</f>
        <v>0</v>
      </c>
      <c r="AN7" s="168" t="e">
        <f>IF(BL8+BH13=0,0,D25)</f>
        <v>#DIV/0!</v>
      </c>
      <c r="AO7" s="168" t="e">
        <f>AN7/(1+B17)*BH11</f>
        <v>#DIV/0!</v>
      </c>
      <c r="AP7" s="172">
        <f>IF(BL8+BH13=0,0,D7)</f>
        <v>0</v>
      </c>
      <c r="AQ7" s="168">
        <f>AM7*AP7</f>
        <v>0</v>
      </c>
      <c r="AR7" s="168" t="e">
        <f>AN7*AP7</f>
        <v>#DIV/0!</v>
      </c>
      <c r="AS7" s="191" t="s">
        <v>238</v>
      </c>
      <c r="AT7" s="178"/>
      <c r="AU7" s="211"/>
      <c r="AV7" s="174"/>
      <c r="AW7" s="212"/>
      <c r="AX7" s="194"/>
      <c r="AY7" s="176" t="str">
        <f>IF(BG7+BF25+BN25=1,"DISC   ???",IF(BG11=0,"DISC   ???"," "))</f>
        <v>DISC   ???</v>
      </c>
      <c r="AZ7" s="195"/>
      <c r="BA7" s="213"/>
      <c r="BB7" s="95" t="s">
        <v>2</v>
      </c>
      <c r="BC7" s="36" t="e">
        <f>F11*F7*(N11/K5)/BC2</f>
        <v>#DIV/0!</v>
      </c>
      <c r="BD7" s="37">
        <f>IF(H25="P",1)</f>
        <v>1</v>
      </c>
      <c r="BE7" s="34" t="b">
        <f>F19&gt;0</f>
        <v>0</v>
      </c>
      <c r="BF7" s="34" t="e">
        <f>Y10&gt;=Y8</f>
        <v>#DIV/0!</v>
      </c>
      <c r="BG7" s="34" t="b">
        <f>AY12&gt;0</f>
        <v>0</v>
      </c>
      <c r="BH7" s="34" t="b">
        <f>BH6&lt;&gt;1</f>
        <v>1</v>
      </c>
      <c r="BI7" s="63" t="str">
        <f>IF(BD12+BE14+BH12+BD2+BD3+BD4+BD8+BD7+BE18+BH13-BH14-BH15-BH16=5,"n/Fc.","")</f>
        <v/>
      </c>
      <c r="BJ7" s="44">
        <f>((1+F16*((F12+F13*(1+F12))))/((1-F14-F15)*(1-F16)))</f>
        <v>1</v>
      </c>
      <c r="BK7" s="46">
        <f>IF(G17="PR",1,0)</f>
        <v>1</v>
      </c>
      <c r="BL7" s="34" t="s">
        <v>59</v>
      </c>
      <c r="BM7" s="34" t="e">
        <f>IF(AA10&gt;0,1,0)</f>
        <v>#DIV/0!</v>
      </c>
      <c r="BN7" s="34" t="s">
        <v>59</v>
      </c>
      <c r="BO7" s="34" t="e">
        <f>IF(AA14&gt;0,1,0)</f>
        <v>#DIV/0!</v>
      </c>
      <c r="BP7" s="65" t="e">
        <f>IF((BO4+BO7+BO11+BP8)*BH11=4,"n/Fc.                   "," ")</f>
        <v>#DIV/0!</v>
      </c>
      <c r="BQ7" s="34" t="e">
        <f>BM3=0</f>
        <v>#DIV/0!</v>
      </c>
      <c r="BR7" s="34" t="e">
        <f>(((R9+BA14)/(1+R11)*R11)-AG9)*BF4*BF18*-1</f>
        <v>#DIV/0!</v>
      </c>
      <c r="BS7" s="95" t="s">
        <v>3</v>
      </c>
      <c r="BT7" s="96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</row>
    <row r="8" spans="1:90" ht="8.25" customHeight="1" x14ac:dyDescent="0.15">
      <c r="A8" s="102" t="s">
        <v>74</v>
      </c>
      <c r="B8" s="214"/>
      <c r="C8" s="214"/>
      <c r="D8" s="214"/>
      <c r="E8" s="214"/>
      <c r="F8" s="214"/>
      <c r="G8" s="215" t="s">
        <v>16</v>
      </c>
      <c r="H8" s="216" t="s">
        <v>206</v>
      </c>
      <c r="I8" s="102" t="s">
        <v>100</v>
      </c>
      <c r="J8" s="103" t="s">
        <v>5</v>
      </c>
      <c r="K8" s="139">
        <f>IF(E19="??? =&gt;&gt;&gt;",0,IF(E19="n/Fc. =&gt;&gt;&gt;",0,F19*BD9))</f>
        <v>0</v>
      </c>
      <c r="L8" s="154" t="str">
        <f>G4</f>
        <v>US</v>
      </c>
      <c r="M8" s="217" t="str">
        <f>IF(G4="US","IN  US (Y/N)    =&gt;&gt;",IF(G4="$S","IN  $S (Y/N)    =&gt;&gt;",IF(G4="SF","IN  SF (Y/N)    =&gt;&gt;",IF(G4="YJ","IN  YJ (Y/N)    =&gt;&gt;",IF(G4="EP","IN  EP (Y/N)    =&gt;&gt;",IF(G4="$O","IN  $O (Y/N)    =&gt;&gt;",IF(G4="YC","IN YC (Y/N)     =&gt;&gt;",IF(G4="EU","IN  EU (Y/N)    =&gt;&gt;"))))))))</f>
        <v>IN  US (Y/N)    =&gt;&gt;</v>
      </c>
      <c r="N8" s="218" t="s">
        <v>16</v>
      </c>
      <c r="O8" s="219" t="str">
        <f>IF(N8="N","R$",G4)</f>
        <v>R$</v>
      </c>
      <c r="P8" s="102" t="s">
        <v>220</v>
      </c>
      <c r="Q8" s="103" t="s">
        <v>5</v>
      </c>
      <c r="R8" s="182">
        <f>F21+B22</f>
        <v>0</v>
      </c>
      <c r="S8" s="108"/>
      <c r="T8" s="220" t="s">
        <v>211</v>
      </c>
      <c r="U8" s="144" t="s">
        <v>5</v>
      </c>
      <c r="V8" s="221" t="e">
        <f>IF(BD2*BL4=1,AH7/AH6,((AG7/(AG5+AG6))*BF13)+((AH7/(AH5+AH6+BF21))*BD7*BF17))</f>
        <v>#DIV/0!</v>
      </c>
      <c r="W8" s="222" t="s">
        <v>127</v>
      </c>
      <c r="X8" s="184" t="s">
        <v>5</v>
      </c>
      <c r="Y8" s="185" t="e">
        <f>R9*R12*BD12*BF20*BH11</f>
        <v>#DIV/0!</v>
      </c>
      <c r="Z8" s="186" t="s">
        <v>47</v>
      </c>
      <c r="AA8" s="162" t="e">
        <f>IF(BM6*BH11=0," ","FUTURE CREDIT !!!")</f>
        <v>#DIV/0!</v>
      </c>
      <c r="AB8" s="223" t="s">
        <v>34</v>
      </c>
      <c r="AC8" s="224" t="e">
        <f>(((V14*R12)-AG10)*BF18*BD12*(BD3*(BD7+BD8)*BQ8))+(((V14*R12*(1+AZ14))-AG10)*BF18*BD12*(BD4*(BD7+BD8)*BQ8))</f>
        <v>#DIV/0!</v>
      </c>
      <c r="AD8" s="224">
        <f>IF((BD3+BD4)*BD8=1,(((R9*R12)-AG10)*BF18*BD12*(BD3*(BD7+BD8)*BQ8))+(((R9*R12*(1+AZ14))-AG10)*BF18*BD12*(BD4*(BD7+BD8)*BQ8)),0)</f>
        <v>0</v>
      </c>
      <c r="AE8" s="190" t="s">
        <v>108</v>
      </c>
      <c r="AF8" s="165"/>
      <c r="AG8" s="166" t="e">
        <f t="shared" si="0"/>
        <v>#DIV/0!</v>
      </c>
      <c r="AH8" s="182" t="e">
        <f>(N12-N11)*K14</f>
        <v>#DIV/0!</v>
      </c>
      <c r="AI8" s="168" t="e">
        <f>(AG8-AH8)*BF13</f>
        <v>#DIV/0!</v>
      </c>
      <c r="AJ8" s="169" t="e">
        <f>AI8/(AH8+BF21)</f>
        <v>#DIV/0!</v>
      </c>
      <c r="AK8" s="170" t="s">
        <v>12</v>
      </c>
      <c r="AL8" s="171" t="str">
        <f>E6</f>
        <v>DD</v>
      </c>
      <c r="AM8" s="168">
        <f>IF(BL8+BH13=0,0,E11)</f>
        <v>0</v>
      </c>
      <c r="AN8" s="168" t="e">
        <f>IF(BL8+BH13=0,0,E25)</f>
        <v>#DIV/0!</v>
      </c>
      <c r="AO8" s="168" t="e">
        <f>AN8/(1+B17)*BH11</f>
        <v>#DIV/0!</v>
      </c>
      <c r="AP8" s="172">
        <f>IF(BL8+BH13=0,0,E7)</f>
        <v>0</v>
      </c>
      <c r="AQ8" s="168">
        <f>AM8*AP8</f>
        <v>0</v>
      </c>
      <c r="AR8" s="168" t="e">
        <f>AN8*AP8</f>
        <v>#DIV/0!</v>
      </c>
      <c r="AS8" s="191" t="s">
        <v>239</v>
      </c>
      <c r="AT8" s="178"/>
      <c r="AU8" s="211"/>
      <c r="AV8" s="174"/>
      <c r="AW8" s="212"/>
      <c r="AX8" s="194"/>
      <c r="AY8" s="176" t="str">
        <f>IF(BG20=0,"DISC   ???","")</f>
        <v/>
      </c>
      <c r="AZ8" s="195"/>
      <c r="BA8" s="213"/>
      <c r="BB8" s="95" t="s">
        <v>2</v>
      </c>
      <c r="BC8" s="36" t="e">
        <f>SUM(BC3:BC7)</f>
        <v>#DIV/0!</v>
      </c>
      <c r="BD8" s="37" t="b">
        <f>IF(H25="M",1)</f>
        <v>0</v>
      </c>
      <c r="BE8" s="34">
        <f>IF(G7="Y",1,0)</f>
        <v>0</v>
      </c>
      <c r="BF8" s="34" t="s">
        <v>59</v>
      </c>
      <c r="BG8" s="34" t="b">
        <f>NOT(SUM(BG2:BG7)&gt;=1)</f>
        <v>1</v>
      </c>
      <c r="BH8" s="34">
        <f>IF(BF13=0,0,IF(BF22=0,0,1))</f>
        <v>0</v>
      </c>
      <c r="BI8" s="63" t="str">
        <f>IF(BD12+BE14+BH12+BD2+BD3+BD4+BD8+BD7+BF13+BH13-BH18-BH20=5,"n/Fc.","")</f>
        <v/>
      </c>
      <c r="BJ8" s="44">
        <f>((1+(B16*B12))/((1-B14-B15)*(1-B16)))</f>
        <v>1</v>
      </c>
      <c r="BK8" s="46" t="s">
        <v>59</v>
      </c>
      <c r="BL8" s="34">
        <f>IF(AY12&gt;0,0,1)</f>
        <v>1</v>
      </c>
      <c r="BM8" s="34">
        <f>IF(G21="Y",1,0)</f>
        <v>0</v>
      </c>
      <c r="BN8" s="34" t="s">
        <v>59</v>
      </c>
      <c r="BO8" s="34">
        <f>IF(H21="Y",1,0)</f>
        <v>0</v>
      </c>
      <c r="BP8" s="34">
        <f>IF(G17="PE",1,0)</f>
        <v>0</v>
      </c>
      <c r="BQ8" s="34" t="e">
        <f>BM6=0</f>
        <v>#DIV/0!</v>
      </c>
      <c r="BR8" s="34" t="e">
        <f>(((R9+BA14)*R12)-AG10)*BF7*BD12*BF18*-1</f>
        <v>#DIV/0!</v>
      </c>
      <c r="BS8" s="95" t="s">
        <v>3</v>
      </c>
      <c r="BT8" s="96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</row>
    <row r="9" spans="1:90" ht="8.25" customHeight="1" x14ac:dyDescent="0.15">
      <c r="A9" s="102" t="s">
        <v>75</v>
      </c>
      <c r="B9" s="225"/>
      <c r="C9" s="225"/>
      <c r="D9" s="225"/>
      <c r="E9" s="225"/>
      <c r="F9" s="225"/>
      <c r="G9" s="226" t="s">
        <v>92</v>
      </c>
      <c r="H9" s="227" t="s">
        <v>17</v>
      </c>
      <c r="I9" s="228" t="str">
        <f>IF(BE18=1,"I I wo/ C(I)F  ESTIMATE","I I wo/ C(I)F           PAID")</f>
        <v>I I wo/ C(I)F  ESTIMATE</v>
      </c>
      <c r="J9" s="161" t="s">
        <v>5</v>
      </c>
      <c r="K9" s="229" t="e">
        <f>O12/(O11+BF21)-1</f>
        <v>#DIV/0!</v>
      </c>
      <c r="L9" s="230" t="s">
        <v>18</v>
      </c>
      <c r="M9" s="231" t="s">
        <v>107</v>
      </c>
      <c r="N9" s="103" t="str">
        <f>IF(G4="US","ESTIMATE  US",IF(G4="$S","ESTIMATE  $S",IF(G4="SF","ESTIMATE  SF",IF(G4="YJ","ESTIMATE  YJ",IF(G4="EP","ESTIMATE  EP",IF(G4="$O","ESTIMATE  $O",IF(G4="YC","ESTIMATE  YC",IF(G4="EU","ESTIMATE  EU"))))))))</f>
        <v>ESTIMATE  US</v>
      </c>
      <c r="O9" s="232" t="str">
        <f>IF((BD2+BD3)*BE18=1,"ESTIMATE","EFFECTIVE")</f>
        <v>ESTIMATE</v>
      </c>
      <c r="P9" s="102" t="str">
        <f>IF(BH11=0,"TOTAL COST R$","TOTAL REVENUE")</f>
        <v>TOTAL REVENUE</v>
      </c>
      <c r="Q9" s="103" t="s">
        <v>5</v>
      </c>
      <c r="R9" s="233" t="e">
        <f>IF(BH11=1,N20/(1-R7),N20+SUM(Y15:Y20))</f>
        <v>#DIV/0!</v>
      </c>
      <c r="S9" s="108"/>
      <c r="T9" s="115" t="s">
        <v>212</v>
      </c>
      <c r="U9" s="144" t="s">
        <v>5</v>
      </c>
      <c r="V9" s="221" t="e">
        <f>IF(BD2*BL4=1,(SUM(AH8:AH12))/(AH5+AH6+AH7+(AH13*BE24)),((SUM(AG8:AG12))/(AG5+AG6+AG7+(AG13*BE24))*BF13)+((SUM(AH8:AH12))/(AH5+AH6+AH7+(AH13*BE24))*BD7*BF17))</f>
        <v>#DIV/0!</v>
      </c>
      <c r="W9" s="222" t="s">
        <v>200</v>
      </c>
      <c r="X9" s="184" t="s">
        <v>5</v>
      </c>
      <c r="Y9" s="234" t="e">
        <f>R9/(1+R11)*R12*BE14*BF20*BH11</f>
        <v>#DIV/0!</v>
      </c>
      <c r="Z9" s="235"/>
      <c r="AA9" s="236"/>
      <c r="AB9" s="223" t="s">
        <v>34</v>
      </c>
      <c r="AC9" s="237" t="e">
        <f>(((V14/(1+R11)*R12)-AG10)*BF18*BE14*(BD3*(BD7+BD8)*BQ8))+(((V14/(1+R11)*R12*(1+AZ14))-AG10)*BF18*BE14*(BD4*(BD7+BD8)*BQ8))</f>
        <v>#DIV/0!</v>
      </c>
      <c r="AD9" s="238">
        <f>IF((BD3+BD4)*BD8=1,(((R9/(1+R11)*R12)-AG10)*BF18*BE14*(BD3*(BD7+BD8)*BQ8))+(((R9/(1+R11)*R12*(1+AZ14))-AG10)*BF18*BE14*(BD4*(BD7+BD8)*BQ8)),0)</f>
        <v>0</v>
      </c>
      <c r="AE9" s="190" t="s">
        <v>144</v>
      </c>
      <c r="AF9" s="165"/>
      <c r="AG9" s="166" t="e">
        <f t="shared" si="0"/>
        <v>#DIV/0!</v>
      </c>
      <c r="AH9" s="182" t="e">
        <f>(N13-N12)*K14</f>
        <v>#DIV/0!</v>
      </c>
      <c r="AI9" s="168" t="e">
        <f>(AG9-AH9)*BF13</f>
        <v>#DIV/0!</v>
      </c>
      <c r="AJ9" s="169" t="e">
        <f>AI9/(AH9+BF21)</f>
        <v>#DIV/0!</v>
      </c>
      <c r="AK9" s="170" t="s">
        <v>13</v>
      </c>
      <c r="AL9" s="171" t="str">
        <f>F6</f>
        <v>EE</v>
      </c>
      <c r="AM9" s="168">
        <f>IF(BL8+BH13=0,0,F11)</f>
        <v>0</v>
      </c>
      <c r="AN9" s="168" t="e">
        <f>IF(BL8+BH13=0,0,F25)</f>
        <v>#DIV/0!</v>
      </c>
      <c r="AO9" s="168" t="e">
        <f>AN9/(1+B17)*BH11</f>
        <v>#DIV/0!</v>
      </c>
      <c r="AP9" s="172">
        <f>IF(BL8+BH13=0,0,F7)</f>
        <v>0</v>
      </c>
      <c r="AQ9" s="168">
        <f>AM9*AP9</f>
        <v>0</v>
      </c>
      <c r="AR9" s="168" t="e">
        <f>AN9*AP9</f>
        <v>#DIV/0!</v>
      </c>
      <c r="AS9" s="191" t="s">
        <v>240</v>
      </c>
      <c r="AT9" s="178"/>
      <c r="AU9" s="211"/>
      <c r="AV9" s="174"/>
      <c r="AW9" s="212"/>
      <c r="AX9" s="194"/>
      <c r="AY9" s="239" t="str">
        <f>IF(BG7+BF25+BN22=1,"QUANT ???",IF(BG17=BG18,"QUANT ???"," "))</f>
        <v>QUANT ???</v>
      </c>
      <c r="AZ9" s="195"/>
      <c r="BA9" s="213"/>
      <c r="BB9" s="95" t="s">
        <v>2</v>
      </c>
      <c r="BC9" s="33" t="e">
        <f>((B24*B7*1)+(C24*C7)+(D24*D7)+(E24*E7)+(F24*F7))+(AY12*BG7*BF14*BD4)</f>
        <v>#DIV/0!</v>
      </c>
      <c r="BD9" s="34">
        <f>IF(G24="??=&gt;",0,1)</f>
        <v>1</v>
      </c>
      <c r="BE9" s="34">
        <f>IF(G8="Y",1,0)</f>
        <v>0</v>
      </c>
      <c r="BF9" s="34" t="e">
        <f>BF10=0</f>
        <v>#DIV/0!</v>
      </c>
      <c r="BG9" s="34" t="b">
        <f>NOT((SUM(AX6:AX11)+AY12)=0)</f>
        <v>0</v>
      </c>
      <c r="BH9" s="34">
        <f>IF(BD4=0,1,IF(BG7=0,1,0))</f>
        <v>1</v>
      </c>
      <c r="BI9" s="63" t="str">
        <f>IF(BD12+BE14+BH12+BD2+BD4+BD3+BD8+BD7+BF13+BF22-BI12=5,"n/Fc.","")</f>
        <v/>
      </c>
      <c r="BJ9" s="44">
        <f>((1+(C16*C12))/((1-C14-C15)*(1-C16)))</f>
        <v>1</v>
      </c>
      <c r="BK9" s="46" t="s">
        <v>59</v>
      </c>
      <c r="BL9" s="34" t="s">
        <v>59</v>
      </c>
      <c r="BM9" s="34">
        <f>IF(G21="N",1,0)</f>
        <v>1</v>
      </c>
      <c r="BN9" s="34" t="s">
        <v>59</v>
      </c>
      <c r="BO9" s="34">
        <f>IF(H21="N",1,0)</f>
        <v>1</v>
      </c>
      <c r="BP9" s="34">
        <f>IF(G17="PR",1,0)</f>
        <v>1</v>
      </c>
      <c r="BQ9" s="34" t="e">
        <f>BO3=0</f>
        <v>#DIV/0!</v>
      </c>
      <c r="BR9" s="34" t="e">
        <f>(((R9+BA14)/(1+R11)*R12)-AG10)*BF9*BE14*BF18*-1</f>
        <v>#DIV/0!</v>
      </c>
      <c r="BS9" s="95" t="s">
        <v>3</v>
      </c>
      <c r="BT9" s="96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</row>
    <row r="10" spans="1:90" ht="8.25" customHeight="1" x14ac:dyDescent="0.15">
      <c r="A10" s="102" t="s">
        <v>203</v>
      </c>
      <c r="B10" s="214"/>
      <c r="C10" s="214"/>
      <c r="D10" s="214"/>
      <c r="E10" s="214"/>
      <c r="F10" s="214"/>
      <c r="G10" s="240">
        <v>0</v>
      </c>
      <c r="H10" s="241" t="s">
        <v>98</v>
      </c>
      <c r="I10" s="228" t="str">
        <f>IF(BE18=1,"IPI  wo/ I I     ESTIMATE","IPI  wo/ I I              PAID")</f>
        <v>IPI  wo/ I I     ESTIMATE</v>
      </c>
      <c r="J10" s="161" t="s">
        <v>5</v>
      </c>
      <c r="K10" s="229" t="e">
        <f>O13/(O12+BF21)-1</f>
        <v>#DIV/0!</v>
      </c>
      <c r="L10" s="230" t="s">
        <v>18</v>
      </c>
      <c r="M10" s="79" t="s">
        <v>19</v>
      </c>
      <c r="N10" s="182">
        <f>K5+((K7*K6*BE16)+(K8*K6*BE17))</f>
        <v>0</v>
      </c>
      <c r="O10" s="168">
        <f>(IF(N8="Y",N10,N10*K14)*BE18)+(IF(N8="N",SUM(AG5:AG7),(SUM(AG5:AG7))/K14)*BF13)</f>
        <v>0</v>
      </c>
      <c r="P10" s="102" t="s">
        <v>113</v>
      </c>
      <c r="Q10" s="103" t="s">
        <v>5</v>
      </c>
      <c r="R10" s="242">
        <f>H6</f>
        <v>0</v>
      </c>
      <c r="S10" s="46">
        <f>G6</f>
        <v>0</v>
      </c>
      <c r="T10" s="115" t="s">
        <v>213</v>
      </c>
      <c r="U10" s="144" t="s">
        <v>5</v>
      </c>
      <c r="V10" s="221" t="e">
        <f>IF(BD2*BL4=1,AH9/(AH5+AH6+AH7+(AH13*BE24)),(AG9/(AG5+AG6+AG7+(AG13*BE24))*BF13)+(AH9/(AH5+AH6+AH7+(AH13*BE24))*BD7*BF17))</f>
        <v>#DIV/0!</v>
      </c>
      <c r="W10" s="203" t="s">
        <v>128</v>
      </c>
      <c r="X10" s="204" t="s">
        <v>5</v>
      </c>
      <c r="Y10" s="205" t="e">
        <f>((N16-N15)*R5*BF20)</f>
        <v>#DIV/0!</v>
      </c>
      <c r="Z10" s="243" t="s">
        <v>5</v>
      </c>
      <c r="AA10" s="207" t="e">
        <f>((Y8-Y10)*BF6)+((Y9-Y10)*BF10)+((Y8-Y10)*BF7*BE13*BD12)+((Y9-Y10)*BF9*BE13*BE14)</f>
        <v>#DIV/0!</v>
      </c>
      <c r="AB10" s="209"/>
      <c r="AC10" s="209"/>
      <c r="AD10" s="210"/>
      <c r="AE10" s="190" t="s">
        <v>145</v>
      </c>
      <c r="AF10" s="165"/>
      <c r="AG10" s="166" t="e">
        <f t="shared" si="0"/>
        <v>#DIV/0!</v>
      </c>
      <c r="AH10" s="182" t="e">
        <f>(N16-N15)*K14</f>
        <v>#DIV/0!</v>
      </c>
      <c r="AI10" s="168" t="e">
        <f>(AG10-AH10)*BF13</f>
        <v>#DIV/0!</v>
      </c>
      <c r="AJ10" s="169" t="e">
        <f>AI10/(AH10+BF21)</f>
        <v>#DIV/0!</v>
      </c>
      <c r="AK10" s="244" t="str">
        <f>IF(AM3="???"," ADJUST F-1, F-5 AND/OR F-7",IF(BD3+BL8+BD15+BH13=1,"  SALE IN A GLOBAL VALUE !!!, ADJUST PHASE 3 OR SEE F-7",IF(AX6+AX7+AX8+AX9+AX10+AX11+BL11=(1*BL8+BH13),"  WITHOUT CONCLUSIVE PARAMETERS IN F-7 !!!",IF(AX6+AW7+AW8+AW9+AW10+AW11+BL11=(1*BL8+BH13),"  WITHOUT CONCLUSIVE PARAMETERS IN F-7 !!!"," "))))</f>
        <v xml:space="preserve"> </v>
      </c>
      <c r="AL10" s="128"/>
      <c r="AM10" s="128"/>
      <c r="AN10" s="128"/>
      <c r="AO10" s="128"/>
      <c r="AP10" s="245" t="s">
        <v>9</v>
      </c>
      <c r="AQ10" s="246">
        <f>IF(BD4*BG7=1,K5,SUM(AQ5:AQ9))</f>
        <v>0</v>
      </c>
      <c r="AR10" s="246" t="e">
        <f>IF(BD4*BG7=1,AY12,SUM(AR5:AR9))</f>
        <v>#DIV/0!</v>
      </c>
      <c r="AS10" s="191" t="s">
        <v>241</v>
      </c>
      <c r="AT10" s="178"/>
      <c r="AU10" s="211"/>
      <c r="AV10" s="174"/>
      <c r="AW10" s="212"/>
      <c r="AX10" s="194"/>
      <c r="AY10" s="239" t="str">
        <f>IF(BF13=1," ",IF(BF22=0," ","F-5       ???"))</f>
        <v xml:space="preserve"> </v>
      </c>
      <c r="AZ10" s="195"/>
      <c r="BA10" s="213"/>
      <c r="BB10" s="95" t="s">
        <v>2</v>
      </c>
      <c r="BC10" s="38" t="e">
        <f>((B25-B24)*B7)/(BC9+BF21)+(B7*B8*B17/K5*BG7*BF14*BD4)</f>
        <v>#DIV/0!</v>
      </c>
      <c r="BD10" s="34">
        <f>IF(BD2=1,0,IF(BD3=1,0,1))</f>
        <v>0</v>
      </c>
      <c r="BE10" s="34">
        <f>IF(G10&gt;0,1,0)</f>
        <v>0</v>
      </c>
      <c r="BF10" s="34" t="e">
        <f>Y10&lt;=Y9</f>
        <v>#DIV/0!</v>
      </c>
      <c r="BG10" s="34" t="s">
        <v>59</v>
      </c>
      <c r="BH10" s="34" t="s">
        <v>59</v>
      </c>
      <c r="BI10" s="67" t="str">
        <f>IF(BD12+BE14+BH12+BD2+BD3+BD4+BD8+BD7+BE18+BF22-BI16-BI17-BI18=5,"n/Fc.","")</f>
        <v/>
      </c>
      <c r="BJ10" s="44">
        <f>((1+(D16*D12))/((1-D14-D15)*(1-D16)))</f>
        <v>1</v>
      </c>
      <c r="BK10" s="46" t="s">
        <v>59</v>
      </c>
      <c r="BL10" s="34" t="s">
        <v>59</v>
      </c>
      <c r="BM10" s="34">
        <f>IF(G21="IPI",1,0)</f>
        <v>0</v>
      </c>
      <c r="BN10" s="34" t="s">
        <v>59</v>
      </c>
      <c r="BO10" s="34">
        <f>IF(H21="PIS",1,0)</f>
        <v>0</v>
      </c>
      <c r="BP10" s="34">
        <f>IF(D19&gt;0,1,0)</f>
        <v>0</v>
      </c>
      <c r="BQ10" s="34" t="e">
        <f>BO6=0</f>
        <v>#DIV/0!</v>
      </c>
      <c r="BR10" s="34" t="e">
        <f>(((R9+BA14)*(1-R11)*R13)-AG11)*BK7*BK14*BF18*-1</f>
        <v>#DIV/0!</v>
      </c>
      <c r="BS10" s="95" t="s">
        <v>3</v>
      </c>
      <c r="BT10" s="96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1:90" ht="8.25" customHeight="1" x14ac:dyDescent="0.15">
      <c r="A11" s="102" t="s">
        <v>204</v>
      </c>
      <c r="B11" s="247">
        <f>(B8*(1-B9))+B10</f>
        <v>0</v>
      </c>
      <c r="C11" s="247">
        <f>(C8*(1-C9))+C10</f>
        <v>0</v>
      </c>
      <c r="D11" s="247">
        <f>(D8*(1-D9))+D10</f>
        <v>0</v>
      </c>
      <c r="E11" s="247">
        <f>(E8*(1-E9))+E10</f>
        <v>0</v>
      </c>
      <c r="F11" s="248">
        <f>(F8*(1-F9))+F10</f>
        <v>0</v>
      </c>
      <c r="G11" s="249" t="s">
        <v>90</v>
      </c>
      <c r="H11" s="250" t="s">
        <v>20</v>
      </c>
      <c r="I11" s="228" t="str">
        <f>IF(BE18=1,"PIS wo/ IPI   ESTIMATE","PIS wo/ IPI            PAID")</f>
        <v>PIS wo/ IPI   ESTIMATE</v>
      </c>
      <c r="J11" s="161" t="s">
        <v>5</v>
      </c>
      <c r="K11" s="229" t="e">
        <f>(O14/(O13+BF21))-1</f>
        <v>#DIV/0!</v>
      </c>
      <c r="L11" s="230" t="s">
        <v>18</v>
      </c>
      <c r="M11" s="79" t="str">
        <f>IF(G10=0,"no Function  =&gt;&gt;",IF(BE24=0,"no Function  =&gt;&gt;","C+I+F"))</f>
        <v>no Function  =&gt;&gt;</v>
      </c>
      <c r="N11" s="182">
        <f>(N10+((N10*G10*BE10*BE24)))</f>
        <v>0</v>
      </c>
      <c r="O11" s="168" t="e">
        <f>(IF(N8="Y",N11,N11*K14)*BE18)+(IF(N8="N",SUM(AG5:AG7)+(AG13*BE24),(SUM(AG5:AG7)+(AG13*BE24))/K14)*BF13)</f>
        <v>#DIV/0!</v>
      </c>
      <c r="P11" s="102" t="s">
        <v>115</v>
      </c>
      <c r="Q11" s="103" t="s">
        <v>5</v>
      </c>
      <c r="R11" s="251" t="e">
        <f>BC15*BH11</f>
        <v>#DIV/0!</v>
      </c>
      <c r="S11" s="252" t="s">
        <v>18</v>
      </c>
      <c r="T11" s="115" t="s">
        <v>214</v>
      </c>
      <c r="U11" s="144" t="s">
        <v>5</v>
      </c>
      <c r="V11" s="221" t="e">
        <f>IF(BD2*BL4=1,AH10/(AH5+AH6+AH7+(AH13*BE24)),(AG10/(AG5+AG6+AG7+(AG13*BE24))*BF13)+(AH10/(AH5+AH6+AH7+(AH13*BE24))*BD7*BF17))</f>
        <v>#DIV/0!</v>
      </c>
      <c r="W11" s="222" t="s">
        <v>242</v>
      </c>
      <c r="X11" s="184" t="s">
        <v>5</v>
      </c>
      <c r="Y11" s="185" t="e">
        <f>R9*C26*BF20/(1+R11)*BH11</f>
        <v>#DIV/0!</v>
      </c>
      <c r="Z11" s="186" t="s">
        <v>47</v>
      </c>
      <c r="AA11" s="162" t="e">
        <f>IF(BO3*BH11=0," ","FUTURE CREDIT !!!")</f>
        <v>#DIV/0!</v>
      </c>
      <c r="AB11" s="223" t="s">
        <v>34</v>
      </c>
      <c r="AC11" s="237" t="e">
        <f>(((V14/(1+R11)*R13)-(AG11*BK7))*BF18*(BD3*(BD7+BD8)*BQ9))+(((V14/(1+R11)*R13*(1+AZ14))-(AG11*BK7))*BF18*(BD4*(BD7+BD8)*BQ9))</f>
        <v>#DIV/0!</v>
      </c>
      <c r="AD11" s="189">
        <f>IF((BD3+BD4)*BD8=1,(((R9/(1+R11)*R13)-(AG11*BK7))*BF18*(BD3*(BD7+BD8)*BQ9))+(((R9/(1+R11)*R13*(1+AZ14))-(AG11*BK7))*BF18*(BD4*(BD7+BD8)*BQ9)),0)</f>
        <v>0</v>
      </c>
      <c r="AE11" s="190" t="s">
        <v>146</v>
      </c>
      <c r="AF11" s="165"/>
      <c r="AG11" s="166" t="e">
        <f t="shared" si="0"/>
        <v>#DIV/0!</v>
      </c>
      <c r="AH11" s="182" t="e">
        <f>(N14-N13)*K14</f>
        <v>#DIV/0!</v>
      </c>
      <c r="AI11" s="168" t="e">
        <f>(AG11-AH11)*BF13</f>
        <v>#DIV/0!</v>
      </c>
      <c r="AJ11" s="169" t="e">
        <f>AI11/(AH11+BF21)</f>
        <v>#DIV/0!</v>
      </c>
      <c r="AK11" s="81"/>
      <c r="AL11" s="253"/>
      <c r="AM11" s="253"/>
      <c r="AN11" s="253"/>
      <c r="AO11" s="253"/>
      <c r="AP11" s="81"/>
      <c r="AQ11" s="81"/>
      <c r="AR11" s="90"/>
      <c r="AS11" s="191" t="s">
        <v>243</v>
      </c>
      <c r="AT11" s="178"/>
      <c r="AU11" s="211"/>
      <c r="AV11" s="174"/>
      <c r="AW11" s="212"/>
      <c r="AX11" s="194"/>
      <c r="AY11" s="254" t="str">
        <f>IF(BD4+BD8+BG7=3,"    ADJUST IN FRAME F-1, H25, TO ´´P´´ !"," ")</f>
        <v xml:space="preserve"> </v>
      </c>
      <c r="AZ11" s="195"/>
      <c r="BA11" s="213"/>
      <c r="BB11" s="95" t="s">
        <v>2</v>
      </c>
      <c r="BC11" s="38" t="e">
        <f>((C25-C24)*C7)/(BC9+BF21)+(C7*C8*C17/K5*BG7*BF14*BD4)</f>
        <v>#DIV/0!</v>
      </c>
      <c r="BD11" s="34" t="s">
        <v>59</v>
      </c>
      <c r="BE11" s="34">
        <f>IF(H4="Y",1,0)</f>
        <v>1</v>
      </c>
      <c r="BF11" s="34" t="s">
        <v>59</v>
      </c>
      <c r="BG11" s="34" t="b">
        <f>OR(BF25=BG8,BG22&lt;&gt;BG8)</f>
        <v>1</v>
      </c>
      <c r="BH11" s="34">
        <f>IF(G16="D",0,1)</f>
        <v>1</v>
      </c>
      <c r="BI11" s="34">
        <f>IF(BH12+BD2+BD3+BD8+BF13+BH13=5,1,0)</f>
        <v>0</v>
      </c>
      <c r="BJ11" s="44">
        <f>((1+(E16*E12))/((1-E14-E15)*(1-E16)))</f>
        <v>1</v>
      </c>
      <c r="BK11" s="46" t="s">
        <v>59</v>
      </c>
      <c r="BL11" s="34">
        <f>IF(AM3="PHASE 3",1,0)</f>
        <v>0</v>
      </c>
      <c r="BM11" s="34">
        <f>IF(G21="ICMS",1,0)</f>
        <v>0</v>
      </c>
      <c r="BN11" s="34" t="s">
        <v>59</v>
      </c>
      <c r="BO11" s="34">
        <f>IF(H21="COF",1,0)</f>
        <v>0</v>
      </c>
      <c r="BP11" s="34">
        <f>IF(F19&gt;0,1,0)</f>
        <v>0</v>
      </c>
      <c r="BQ11" s="34" t="e">
        <f>BM2=0</f>
        <v>#DIV/0!</v>
      </c>
      <c r="BR11" s="34" t="e">
        <f>(((R9+BA14)*(1-R11)*R14)-AG12)*BK7*BK17*BF18*-1</f>
        <v>#DIV/0!</v>
      </c>
      <c r="BS11" s="95" t="s">
        <v>3</v>
      </c>
      <c r="BT11" s="96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0" s="52" customFormat="1" ht="8.25" customHeight="1" x14ac:dyDescent="0.15">
      <c r="A12" s="255" t="s">
        <v>76</v>
      </c>
      <c r="B12" s="225"/>
      <c r="C12" s="225"/>
      <c r="D12" s="225"/>
      <c r="E12" s="225"/>
      <c r="F12" s="225"/>
      <c r="G12" s="256">
        <v>0</v>
      </c>
      <c r="H12" s="257">
        <v>0</v>
      </c>
      <c r="I12" s="258" t="str">
        <f>IF(BE18=1,"COFIN wo/ PIS   ESTIM","COFIN wo/ PIS    PAID")</f>
        <v>COFIN wo/ PIS   ESTIM</v>
      </c>
      <c r="J12" s="259" t="s">
        <v>5</v>
      </c>
      <c r="K12" s="260" t="e">
        <f>(O15/(O14+BF22))-1</f>
        <v>#DIV/0!</v>
      </c>
      <c r="L12" s="261" t="s">
        <v>18</v>
      </c>
      <c r="M12" s="262" t="s">
        <v>108</v>
      </c>
      <c r="N12" s="263" t="e">
        <f>((N11*B12*BC3)+(N11*C12*BC4)+(N11*D12*BC5)+(N11*E12*BC6)+(N11*F12*BC7))+N11</f>
        <v>#DIV/0!</v>
      </c>
      <c r="O12" s="168" t="e">
        <f>(IF(N8="Y",N12,N12*K14)*BE18)+(IF(N8="N",SUM(AG5:AG8)+(AG13*BE24),(SUM(AG5:AG8)+(AG13*BE24))/K14)*BF13)</f>
        <v>#DIV/0!</v>
      </c>
      <c r="P12" s="264" t="s">
        <v>114</v>
      </c>
      <c r="Q12" s="265" t="s">
        <v>5</v>
      </c>
      <c r="R12" s="266" t="e">
        <f>BC22*BH11</f>
        <v>#DIV/0!</v>
      </c>
      <c r="S12" s="267" t="s">
        <v>18</v>
      </c>
      <c r="T12" s="115" t="s">
        <v>215</v>
      </c>
      <c r="U12" s="144" t="s">
        <v>5</v>
      </c>
      <c r="V12" s="221" t="e">
        <f>IF(BD2*BL4=1,(AH11+AH12)/(AH5+AH6+AH7+(AH13*BE24)),((AG11+AG12)/(AG5+AG6+AG7+(AG13*BE24))*BF13)+((AH11+AH12)/(AH5+AH6+AH7+(AH13*BE24))*BD7*BF17))</f>
        <v>#DIV/0!</v>
      </c>
      <c r="W12" s="268" t="str">
        <f>IF(BJ2=1,"PIS IMPORT COST","PIS IMPORT CREDIT")</f>
        <v>PIS IMPORT CREDIT</v>
      </c>
      <c r="X12" s="204" t="s">
        <v>5</v>
      </c>
      <c r="Y12" s="205" t="e">
        <f>((N14-N13)*R5*BF20)</f>
        <v>#DIV/0!</v>
      </c>
      <c r="Z12" s="204" t="s">
        <v>5</v>
      </c>
      <c r="AA12" s="207" t="e">
        <f>(((Y11-Y12)*BK7*BK13)+((Y11-Y12)*BK7*BK14*BK15)+(Y11*BK23))*BH11</f>
        <v>#DIV/0!</v>
      </c>
      <c r="AB12" s="209"/>
      <c r="AC12" s="209"/>
      <c r="AD12" s="210"/>
      <c r="AE12" s="269" t="s">
        <v>244</v>
      </c>
      <c r="AF12" s="165"/>
      <c r="AG12" s="166" t="e">
        <f t="shared" si="0"/>
        <v>#DIV/0!</v>
      </c>
      <c r="AH12" s="263" t="e">
        <f>(N15-N14)*K14</f>
        <v>#DIV/0!</v>
      </c>
      <c r="AI12" s="270" t="e">
        <f>(AG12-AH12)*BF13</f>
        <v>#DIV/0!</v>
      </c>
      <c r="AJ12" s="271" t="e">
        <f>AI12/(AH12+BF21)</f>
        <v>#DIV/0!</v>
      </c>
      <c r="AK12" s="272" t="s">
        <v>161</v>
      </c>
      <c r="AL12" s="273"/>
      <c r="AM12" s="273"/>
      <c r="AN12" s="273"/>
      <c r="AO12" s="273"/>
      <c r="AP12" s="178"/>
      <c r="AQ12" s="274" t="str">
        <f>IF(H25="M","MARGIN",IF(H25="P","PRICE"))</f>
        <v>PRICE</v>
      </c>
      <c r="AR12" s="273"/>
      <c r="AS12" s="275" t="s">
        <v>245</v>
      </c>
      <c r="AT12" s="81"/>
      <c r="AU12" s="276"/>
      <c r="AV12" s="253"/>
      <c r="AW12" s="277" t="s">
        <v>25</v>
      </c>
      <c r="AX12" s="277" t="s">
        <v>30</v>
      </c>
      <c r="AY12" s="278"/>
      <c r="AZ12" s="229" t="e">
        <f>BA12/(AV15+BF21)*BF20*BF14</f>
        <v>#DIV/0!</v>
      </c>
      <c r="BA12" s="279" t="e">
        <f>(AY12-AV15)*BG7*BF20*BF14</f>
        <v>#DIV/0!</v>
      </c>
      <c r="BB12" s="280" t="s">
        <v>2</v>
      </c>
      <c r="BC12" s="47" t="e">
        <f>((D25-D24)*D7)/(BC9+BF21)+(D7*D8*D17/K5*BG7*BF14*BD4)</f>
        <v>#DIV/0!</v>
      </c>
      <c r="BD12" s="48">
        <f>IF(G16="C",1,0)</f>
        <v>0</v>
      </c>
      <c r="BE12" s="48" t="b">
        <f>OR(G21="IPI",G21="N")</f>
        <v>1</v>
      </c>
      <c r="BF12" s="48" t="s">
        <v>59</v>
      </c>
      <c r="BG12" s="48" t="b">
        <f>BG2=0</f>
        <v>1</v>
      </c>
      <c r="BH12" s="48" t="b">
        <f>IF(BH11=0,1)</f>
        <v>0</v>
      </c>
      <c r="BI12" s="48">
        <f>IF(BH25="OK!",1,0)</f>
        <v>0</v>
      </c>
      <c r="BJ12" s="49">
        <f>((1+(B16*B12))/((1-B14-B15)*(1-B16)))</f>
        <v>1</v>
      </c>
      <c r="BK12" s="50" t="s">
        <v>59</v>
      </c>
      <c r="BL12" s="34" t="s">
        <v>59</v>
      </c>
      <c r="BM12" s="61" t="e">
        <f>IF((BM4+BM7+BM8)*BH11=3,"                n/Fc."," ")</f>
        <v>#DIV/0!</v>
      </c>
      <c r="BN12" s="34" t="s">
        <v>59</v>
      </c>
      <c r="BO12" s="61" t="e">
        <f>IF((BO4+BO7+BO8+BP9)*BH11=4,"                   n/Fc."," ")</f>
        <v>#DIV/0!</v>
      </c>
      <c r="BP12" s="34" t="e">
        <f>IF(O24=0,0)</f>
        <v>#DIV/0!</v>
      </c>
      <c r="BQ12" s="34" t="e">
        <f>BM5=0</f>
        <v>#DIV/0!</v>
      </c>
      <c r="BR12" s="34" t="e">
        <f>IF(AA7&lt;0,0,1)</f>
        <v>#DIV/0!</v>
      </c>
      <c r="BS12" s="280" t="s">
        <v>3</v>
      </c>
      <c r="BT12" s="28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</row>
    <row r="13" spans="1:90" s="52" customFormat="1" ht="8.25" customHeight="1" x14ac:dyDescent="0.15">
      <c r="A13" s="255" t="s">
        <v>62</v>
      </c>
      <c r="B13" s="225"/>
      <c r="C13" s="225"/>
      <c r="D13" s="225"/>
      <c r="E13" s="225"/>
      <c r="F13" s="225"/>
      <c r="G13" s="282" t="str">
        <f>IF(BD24+BC24+BC25=0,"  LESS DAYS !!!","   PORT  TIME")</f>
        <v xml:space="preserve">   PORT  TIME</v>
      </c>
      <c r="H13" s="283"/>
      <c r="I13" s="258" t="str">
        <f>IF(BE18=1,"ICMS wo/ COFIN ESTIM","ICMS wo/ COFIN PAID")</f>
        <v>ICMS wo/ COFIN ESTIM</v>
      </c>
      <c r="J13" s="259" t="s">
        <v>5</v>
      </c>
      <c r="K13" s="260" t="e">
        <f>1-(O15/(O16+BF21))</f>
        <v>#DIV/0!</v>
      </c>
      <c r="L13" s="261" t="s">
        <v>18</v>
      </c>
      <c r="M13" s="262" t="s">
        <v>119</v>
      </c>
      <c r="N13" s="263" t="e">
        <f>((N12*B13*BC3)+(N12*C13*BC4)+(N12*D13*BC5)+(N12*E13*BC6)+(N12*F13*BC7))+N12</f>
        <v>#DIV/0!</v>
      </c>
      <c r="O13" s="270" t="e">
        <f>(IF(N8="Y",N13,N13*K14)*BE18)+(IF(N8="N",SUM(AG5:AG9)+(AG13*BE24),(SUM(AG5:AG9)+(AG13*BE24))/K14)*BF13)</f>
        <v>#DIV/0!</v>
      </c>
      <c r="P13" s="284" t="s">
        <v>209</v>
      </c>
      <c r="Q13" s="265" t="s">
        <v>5</v>
      </c>
      <c r="R13" s="251">
        <f>C26</f>
        <v>6.4999999999999997E-3</v>
      </c>
      <c r="S13" s="267" t="s">
        <v>18</v>
      </c>
      <c r="T13" s="285" t="s">
        <v>124</v>
      </c>
      <c r="U13" s="286" t="s">
        <v>5</v>
      </c>
      <c r="V13" s="270" t="e">
        <f>IF(BD2*BL4=1,N20,(O20*BD8)+(AG24*BD7*BF13)+(AH24*BD7*BF17))</f>
        <v>#DIV/0!</v>
      </c>
      <c r="W13" s="222" t="s">
        <v>246</v>
      </c>
      <c r="X13" s="184" t="s">
        <v>5</v>
      </c>
      <c r="Y13" s="185" t="e">
        <f>R9*F26*BF20/(1+R11)*BH11</f>
        <v>#DIV/0!</v>
      </c>
      <c r="Z13" s="186" t="s">
        <v>47</v>
      </c>
      <c r="AA13" s="162" t="e">
        <f>IF(BO6*BH11=0," ","FUTURE CREDIT !!!")</f>
        <v>#DIV/0!</v>
      </c>
      <c r="AB13" s="223" t="s">
        <v>34</v>
      </c>
      <c r="AC13" s="237" t="e">
        <f>(((V14/(1+R11)*R14)-(AG12*BK7))*BF18*(BD3*(BD7+BD8)*BQ10))+(((V14/(1+R11)*R14*(1+AZ14))-(AG12*BK7))*BF18*(BD4*(BD7+BD8)*BQ10))</f>
        <v>#DIV/0!</v>
      </c>
      <c r="AD13" s="287">
        <f>IF((BD3+BD4)*BD8=1,(((R9/(1+R11)*R14)-(AG12*BK7))*BF18*(BD3*(BD7+BD8)*BQ10))+(((R9/(1+R11)*R14*(1+AZ14))-(AG12*BK7))*BF18*(BD4*(BD7+BD8)*BQ10)),0)</f>
        <v>0</v>
      </c>
      <c r="AE13" s="269" t="s">
        <v>147</v>
      </c>
      <c r="AF13" s="165"/>
      <c r="AG13" s="166" t="e">
        <f t="shared" si="0"/>
        <v>#DIV/0!</v>
      </c>
      <c r="AH13" s="263" t="e">
        <f>K19</f>
        <v>#DIV/0!</v>
      </c>
      <c r="AI13" s="270" t="e">
        <f>(AG13-AH13)*BF13</f>
        <v>#DIV/0!</v>
      </c>
      <c r="AJ13" s="288" t="e">
        <f>AI13/(AH13+BF21)</f>
        <v>#DIV/0!</v>
      </c>
      <c r="AK13" s="277" t="s">
        <v>162</v>
      </c>
      <c r="AL13" s="277" t="s">
        <v>21</v>
      </c>
      <c r="AM13" s="277" t="s">
        <v>22</v>
      </c>
      <c r="AN13" s="277" t="s">
        <v>24</v>
      </c>
      <c r="AO13" s="277" t="s">
        <v>40</v>
      </c>
      <c r="AP13" s="277" t="s">
        <v>37</v>
      </c>
      <c r="AQ13" s="277" t="s">
        <v>20</v>
      </c>
      <c r="AR13" s="277" t="s">
        <v>9</v>
      </c>
      <c r="AS13" s="81"/>
      <c r="AT13" s="81"/>
      <c r="AU13" s="92"/>
      <c r="AV13" s="90"/>
      <c r="AW13" s="93"/>
      <c r="AX13" s="93"/>
      <c r="AY13" s="92"/>
      <c r="AZ13" s="81"/>
      <c r="BA13" s="289"/>
      <c r="BB13" s="280" t="s">
        <v>2</v>
      </c>
      <c r="BC13" s="53" t="e">
        <f>((E25-E24)*E7)/(BC9+BF21)+(E7*E8*E17/K5*BG7*BF14*BD4)</f>
        <v>#DIV/0!</v>
      </c>
      <c r="BD13" s="48" t="s">
        <v>59</v>
      </c>
      <c r="BE13" s="48" t="b">
        <f>OR(G21="ICMS",G21="N")</f>
        <v>1</v>
      </c>
      <c r="BF13" s="54">
        <f>IF(AH3=" ",0,IF(AH3="N",0,1))</f>
        <v>0</v>
      </c>
      <c r="BG13" s="54" t="b">
        <f>BG3=0</f>
        <v>1</v>
      </c>
      <c r="BH13" s="48" t="b">
        <f>BF14=0</f>
        <v>1</v>
      </c>
      <c r="BI13" s="48">
        <f>IF(BD12+BE14+BD2+BD8+BF13+BF22=5,1,0)</f>
        <v>0</v>
      </c>
      <c r="BJ13" s="55">
        <f>((B16*B13)/((1-B14-B15)*(1-B16)))</f>
        <v>0</v>
      </c>
      <c r="BK13" s="50" t="e">
        <f>BK14=0</f>
        <v>#DIV/0!</v>
      </c>
      <c r="BL13" s="34">
        <f>IF(Z15="Y",0,1)</f>
        <v>1</v>
      </c>
      <c r="BM13" s="62" t="e">
        <f>IF((BM4+BM7+BM9)*BH11=3,"             OK!"," ")</f>
        <v>#DIV/0!</v>
      </c>
      <c r="BN13" s="34" t="s">
        <v>59</v>
      </c>
      <c r="BO13" s="62" t="e">
        <f>IF((BO4+BO7+BO9+BP9)*BH11=4,"                 OK!"," ")</f>
        <v>#DIV/0!</v>
      </c>
      <c r="BP13" s="34">
        <f>IF(B7=0,1)</f>
        <v>1</v>
      </c>
      <c r="BQ13" s="34" t="e">
        <f>BO2=0</f>
        <v>#DIV/0!</v>
      </c>
      <c r="BR13" s="34" t="e">
        <f>IF(AA10&lt;0,0,1)</f>
        <v>#DIV/0!</v>
      </c>
      <c r="BS13" s="280" t="s">
        <v>3</v>
      </c>
      <c r="BT13" s="28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</row>
    <row r="14" spans="1:90" s="52" customFormat="1" ht="8.25" customHeight="1" x14ac:dyDescent="0.15">
      <c r="A14" s="255" t="s">
        <v>247</v>
      </c>
      <c r="B14" s="225"/>
      <c r="C14" s="225"/>
      <c r="D14" s="225"/>
      <c r="E14" s="225"/>
      <c r="F14" s="225"/>
      <c r="G14" s="290">
        <v>5</v>
      </c>
      <c r="H14" s="291" t="s">
        <v>52</v>
      </c>
      <c r="I14" s="255" t="str">
        <f>IF(G4="US","EXCHANGE  US",IF(G4="$S","EXCHANGE  $S",IF(G4="SF","EXCHANGE  SF",IF(G4="YJ","EXCHANGE  YJ",IF(G4="EP","EXCHANGE  EP",IF(G4="$O","EXCHANGE  $O",IF(G4="YC","EXCHANGE  YC",IF(G4="EU","EXCHANGE  EU"))))))))</f>
        <v>EXCHANGE  US</v>
      </c>
      <c r="J14" s="265" t="s">
        <v>5</v>
      </c>
      <c r="K14" s="263">
        <f>B20*BD9</f>
        <v>0</v>
      </c>
      <c r="L14" s="292"/>
      <c r="M14" s="262" t="s">
        <v>63</v>
      </c>
      <c r="N14" s="263" t="e">
        <f>(((N11*B14)+N13)*BJ18)+((((B14*((((N11*K14)*BC3)*BJ8)+(BJ13*B7)))/K14)+((C14*((((N11*K14)*BC4)*BJ9)+(BJ14*C7)))/K14)+((D14*((((N11*K14)*BC5)*BJ10)+(BJ15*D7)))/K14)+((E14*((((N11*K14)*BC6)*BJ11)+(BJ16*E7)))/K14)+((F14*((((N11*K14)*BC7)*BJ12)+(BJ17*F7)))/K14)+N13)*BJ19)</f>
        <v>#DIV/0!</v>
      </c>
      <c r="O14" s="270" t="e">
        <f>(IF(N8="Y",N14,N14*K14)*BE18)+(IF(N8="N",SUM(AG5:AG9)+AG11+(AG13*BE24),(SUM(AG5:AG9)+AG11+(AG13*BE24))/K14)*BF13)</f>
        <v>#DIV/0!</v>
      </c>
      <c r="P14" s="284" t="s">
        <v>210</v>
      </c>
      <c r="Q14" s="265" t="s">
        <v>5</v>
      </c>
      <c r="R14" s="293">
        <f>F26</f>
        <v>0.03</v>
      </c>
      <c r="S14" s="267" t="s">
        <v>18</v>
      </c>
      <c r="T14" s="285" t="str">
        <f>IF(BH11=0,"TOTAL COSTS","TOTAL REVENUE")</f>
        <v>TOTAL REVENUE</v>
      </c>
      <c r="U14" s="286" t="s">
        <v>5</v>
      </c>
      <c r="V14" s="294" t="e">
        <f>IF(BH11=1,(V13/(1-R7)),IF(BD2*BL4=1,R9,V13+SUM(AC15:AC20)))</f>
        <v>#DIV/0!</v>
      </c>
      <c r="W14" s="268" t="str">
        <f>IF(BJ2=1,"COFINS IMPORT COST","COFINS IMPORT CREDIT")</f>
        <v>COFINS IMPORT CREDIT</v>
      </c>
      <c r="X14" s="204" t="s">
        <v>5</v>
      </c>
      <c r="Y14" s="205" t="e">
        <f>((N15-N14)*R5*BF20)</f>
        <v>#DIV/0!</v>
      </c>
      <c r="Z14" s="204" t="s">
        <v>5</v>
      </c>
      <c r="AA14" s="207" t="e">
        <f>(((Y13-Y14)*BK7*BK16)+((Y13-Y14)*BK7*BK17*BK18)+(Y13*BK23))*BH11</f>
        <v>#DIV/0!</v>
      </c>
      <c r="AB14" s="209"/>
      <c r="AC14" s="209"/>
      <c r="AD14" s="295"/>
      <c r="AE14" s="269" t="s">
        <v>221</v>
      </c>
      <c r="AF14" s="165"/>
      <c r="AG14" s="166">
        <f t="shared" si="0"/>
        <v>0</v>
      </c>
      <c r="AH14" s="263">
        <f>(0.25*K7*K6*BE16*K14)*BE15</f>
        <v>0</v>
      </c>
      <c r="AI14" s="270">
        <f>(AG14-AH14)*BF13</f>
        <v>0</v>
      </c>
      <c r="AJ14" s="288">
        <f>AI14/(AH14+BF21)</f>
        <v>0</v>
      </c>
      <c r="AK14" s="296" t="s">
        <v>41</v>
      </c>
      <c r="AL14" s="297" t="e">
        <f>AH8</f>
        <v>#DIV/0!</v>
      </c>
      <c r="AM14" s="297" t="e">
        <f>AH9+AA7</f>
        <v>#DIV/0!</v>
      </c>
      <c r="AN14" s="298" t="e">
        <f>AH10+AA10</f>
        <v>#DIV/0!</v>
      </c>
      <c r="AO14" s="297" t="e">
        <f>AH11+AA12</f>
        <v>#DIV/0!</v>
      </c>
      <c r="AP14" s="297" t="e">
        <f>AH12+AA14</f>
        <v>#DIV/0!</v>
      </c>
      <c r="AQ14" s="297" t="e">
        <f>Y20</f>
        <v>#DIV/0!</v>
      </c>
      <c r="AR14" s="297" t="e">
        <f>SUM(AL14:AQ14)</f>
        <v>#DIV/0!</v>
      </c>
      <c r="AS14" s="115" t="s">
        <v>166</v>
      </c>
      <c r="AT14" s="253"/>
      <c r="AU14" s="299"/>
      <c r="AV14" s="246" t="e">
        <f>AV15+BA14</f>
        <v>#DIV/0!</v>
      </c>
      <c r="AW14" s="79" t="s">
        <v>225</v>
      </c>
      <c r="AX14" s="81"/>
      <c r="AY14" s="86"/>
      <c r="AZ14" s="300" t="e">
        <f>((AV14/AV15)-1)*BF13</f>
        <v>#DIV/0!</v>
      </c>
      <c r="BA14" s="301" t="e">
        <f>((SUM(BA19:BA23)+BA12)*BF22)*BF13</f>
        <v>#DIV/0!</v>
      </c>
      <c r="BB14" s="280" t="s">
        <v>2</v>
      </c>
      <c r="BC14" s="53" t="e">
        <f>((F25-F24)*F7)/(BC9+BF21)+(F7*F8*F17/K5*BG7*BF14*BD4)</f>
        <v>#DIV/0!</v>
      </c>
      <c r="BD14" s="48" t="s">
        <v>59</v>
      </c>
      <c r="BE14" s="48">
        <f>IF(G16="R",1,0)</f>
        <v>1</v>
      </c>
      <c r="BF14" s="48">
        <f>IF(AV3=" ",0,IF(AV3="N",0,1))</f>
        <v>0</v>
      </c>
      <c r="BG14" s="48" t="b">
        <f>BG4=0</f>
        <v>1</v>
      </c>
      <c r="BH14" s="48">
        <f>IF(BH23="OK!",1,0)</f>
        <v>1</v>
      </c>
      <c r="BI14" s="48">
        <f>IF(BH12+BD2+BD3+BD4+BD8+BF13+BF22=5,1,0)</f>
        <v>0</v>
      </c>
      <c r="BJ14" s="55">
        <f>((C16*C13)/((1-C14-C15)*(1-C16)))</f>
        <v>0</v>
      </c>
      <c r="BK14" s="50" t="e">
        <f>Y12&gt;Y11</f>
        <v>#DIV/0!</v>
      </c>
      <c r="BL14" s="34" t="e">
        <f>BA14*-1</f>
        <v>#DIV/0!</v>
      </c>
      <c r="BM14" s="62" t="e">
        <f>IF((BM2+BM5+BM9)*BH11=3,"          CRD?"," ")</f>
        <v>#DIV/0!</v>
      </c>
      <c r="BN14" s="34" t="s">
        <v>59</v>
      </c>
      <c r="BO14" s="62" t="e">
        <f>IF((BO2+BO5+BO9+BP9)*BH11=4,"               CRD?"," ")</f>
        <v>#DIV/0!</v>
      </c>
      <c r="BP14" s="34" t="s">
        <v>59</v>
      </c>
      <c r="BQ14" s="34" t="e">
        <f>BO5=0</f>
        <v>#DIV/0!</v>
      </c>
      <c r="BR14" s="34" t="e">
        <f>IF(AA12&lt;0,0,1)</f>
        <v>#DIV/0!</v>
      </c>
      <c r="BS14" s="280" t="s">
        <v>3</v>
      </c>
      <c r="BT14" s="28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</row>
    <row r="15" spans="1:90" s="52" customFormat="1" ht="8.25" customHeight="1" x14ac:dyDescent="0.15">
      <c r="A15" s="255" t="s">
        <v>248</v>
      </c>
      <c r="B15" s="225"/>
      <c r="C15" s="225"/>
      <c r="D15" s="225"/>
      <c r="E15" s="225"/>
      <c r="F15" s="225"/>
      <c r="G15" s="282" t="s">
        <v>88</v>
      </c>
      <c r="H15" s="302"/>
      <c r="I15" s="255" t="s">
        <v>101</v>
      </c>
      <c r="J15" s="265" t="s">
        <v>5</v>
      </c>
      <c r="K15" s="263">
        <f>D20*BD9</f>
        <v>0</v>
      </c>
      <c r="L15" s="292"/>
      <c r="M15" s="262" t="s">
        <v>120</v>
      </c>
      <c r="N15" s="263" t="e">
        <f>(((N11*B15)+N14)*BJ18)+((((B15*((((N11*K14)*BC3)*BJ8)+(BJ13*B7)))/K14)+((C15*((((N11*K14)*BC4)*BJ9)+(BJ14*C7)))/K14)+((D15*((((N11*K14)*BC5)*BJ10)+(BJ15*D7)))/K14)+((E15*((((N11*K14)*BC6)*BJ11)+(BJ16*E7)))/K14)+((F15*((((N11*K14)*BC7)*BJ12)+(BJ17*F7)))/K14)+N14)*BJ19)</f>
        <v>#DIV/0!</v>
      </c>
      <c r="O15" s="270" t="e">
        <f>(IF(N8="Y",N15,N15*K14)*BE18)+(IF(N8="N",SUM(AG5:AG9)+SUM(AG11:AG12)+(AG13*BE24),(SUM(AG5:AG9)+SUM(AG11:AG12)+(AG13*BE24))/K14)*BF13)</f>
        <v>#DIV/0!</v>
      </c>
      <c r="P15" s="284" t="s">
        <v>20</v>
      </c>
      <c r="Q15" s="265" t="s">
        <v>5</v>
      </c>
      <c r="R15" s="251">
        <f>H12</f>
        <v>0</v>
      </c>
      <c r="S15" s="267"/>
      <c r="T15" s="303" t="str">
        <f>IF(BD2*BL4=1,"FACTOR COST ESTIM",IF(BH11=0,"FACTOR COST EFFECT",IF(BF13=0,"FACTOR RESALE  ESTIM","FACTOR RESALE EFFECT")))</f>
        <v>FACTOR RESALE  ESTIM</v>
      </c>
      <c r="U15" s="286" t="s">
        <v>5</v>
      </c>
      <c r="V15" s="304" t="e">
        <f>IF(BD2*BL4=1,N22,IF(BH11=1,V14/K5,O22))</f>
        <v>#DIV/0!</v>
      </c>
      <c r="W15" s="102" t="s">
        <v>218</v>
      </c>
      <c r="X15" s="103" t="s">
        <v>5</v>
      </c>
      <c r="Y15" s="305" t="e">
        <f>(R9-Y17-(BD19*BL13))*G27*BF20*BH11</f>
        <v>#DIV/0!</v>
      </c>
      <c r="Z15" s="306" t="s">
        <v>16</v>
      </c>
      <c r="AA15" s="147" t="str">
        <f>IF(Z15="Y","&lt;= TAXES INCLUDE (Y/N)","&lt;= TAXES EXCLUDE (Y/N)")</f>
        <v>&lt;= TAXES EXCLUDE (Y/N)</v>
      </c>
      <c r="AB15" s="144" t="s">
        <v>34</v>
      </c>
      <c r="AC15" s="307" t="e">
        <f>(((V14-AC17)*IF(BD4=1,(1+AZ14),1))-(SUM((AC6*BQ11)+(AC8*BQ12)+(AC9*BQ12)+(AC11*BQ13)+(AC13*BQ14))*BL13))*G27*BF13*BF18*BH11</f>
        <v>#DIV/0!</v>
      </c>
      <c r="AD15" s="308">
        <f>IF((BD3+BD4)*BD8=1,(((R9-AD17)*IF(BD4=1,(1+AZ14),1))-(SUM((AD6*BQ11)+(AD8*BQ12)+(AD9*BQ12)+(AD11*BQ13)+(AD13*BQ14))*BL13))*G27*BF13*BF18,0)</f>
        <v>0</v>
      </c>
      <c r="AE15" s="309" t="s">
        <v>148</v>
      </c>
      <c r="AF15" s="165"/>
      <c r="AG15" s="166" t="e">
        <f t="shared" si="0"/>
        <v>#DIV/0!</v>
      </c>
      <c r="AH15" s="263" t="e">
        <f>(((((BC23+BD25+BE2)*N11*BE16*1.05*K14)+(BE23*1.05))+(((((BE3+BE4+BE5)*(N11*(K14/K15))*BE17)*BD9)+(0.015*B19*BF24)+(1.5*BF23))*K15)))*BE15</f>
        <v>#DIV/0!</v>
      </c>
      <c r="AI15" s="270" t="e">
        <f>(AG15-AH15)*BF13</f>
        <v>#DIV/0!</v>
      </c>
      <c r="AJ15" s="288" t="e">
        <f>AI15/(AH15+BF21)</f>
        <v>#DIV/0!</v>
      </c>
      <c r="AK15" s="310">
        <f>G25</f>
        <v>1</v>
      </c>
      <c r="AL15" s="311">
        <f>IF(AK15=1,0,AG8)</f>
        <v>0</v>
      </c>
      <c r="AM15" s="311">
        <f>IF(AK15=1,0,IF((BD3+BD4)*BD8=1,AG9+AD6,AG9+AC6))</f>
        <v>0</v>
      </c>
      <c r="AN15" s="311">
        <f>IF(AK15=1,0,IF((BD3+BD4)*BD8=1,AG10+AD8+AD9,AG10+AC8+AC9))</f>
        <v>0</v>
      </c>
      <c r="AO15" s="311">
        <f>IF(AK15=1,0,IF((BD3+BD4)*BD8=1,AG11+AD11,AG11+AC11))</f>
        <v>0</v>
      </c>
      <c r="AP15" s="311">
        <f>IF(AK15=1,0,IF((BD3+BD4)*BD8=1,AG12+AD13,AG12+AC13))</f>
        <v>0</v>
      </c>
      <c r="AQ15" s="311" t="e">
        <f>IF((BD3+BD4)*BD8=1,AD20,AC20)</f>
        <v>#DIV/0!</v>
      </c>
      <c r="AR15" s="311" t="e">
        <f>SUM(AL15:AQ15)</f>
        <v>#DIV/0!</v>
      </c>
      <c r="AS15" s="312" t="s">
        <v>167</v>
      </c>
      <c r="AT15" s="253"/>
      <c r="AU15" s="253"/>
      <c r="AV15" s="233" t="e">
        <f>(R9*BD2)+(((V14*BD7)+(R9*BD8))*BF18)</f>
        <v>#DIV/0!</v>
      </c>
      <c r="AW15" s="178"/>
      <c r="AX15" s="81"/>
      <c r="AY15" s="81"/>
      <c r="AZ15" s="253"/>
      <c r="BA15" s="313"/>
      <c r="BB15" s="280" t="s">
        <v>2</v>
      </c>
      <c r="BC15" s="56" t="e">
        <f>SUM(BC10:BC14)</f>
        <v>#DIV/0!</v>
      </c>
      <c r="BD15" s="48">
        <f>IF(SUM(AX6:AX11)=0,0,1)</f>
        <v>0</v>
      </c>
      <c r="BE15" s="54" t="b">
        <f>G14&lt;&gt;0</f>
        <v>1</v>
      </c>
      <c r="BF15" s="48">
        <f>BD7</f>
        <v>1</v>
      </c>
      <c r="BG15" s="48" t="b">
        <f>BG5=0</f>
        <v>1</v>
      </c>
      <c r="BH15" s="48">
        <f>IF(BI3="F-5",1,0)</f>
        <v>0</v>
      </c>
      <c r="BI15" s="48">
        <f>IF(BH12+BD4+BD7+BF13+BF22=5,1,0)</f>
        <v>0</v>
      </c>
      <c r="BJ15" s="55">
        <f>((D16*D13)/((1-D14-D15)*(1-D16)))</f>
        <v>0</v>
      </c>
      <c r="BK15" s="50" t="b">
        <f>OR(H21="PIS",H21="N")</f>
        <v>1</v>
      </c>
      <c r="BL15" s="34">
        <f>SUM(B16:F16)*100</f>
        <v>0</v>
      </c>
      <c r="BM15" s="63" t="e">
        <f>IF((BM3+BM6+BM8)*BH11=3,"        CRD!"," ")</f>
        <v>#DIV/0!</v>
      </c>
      <c r="BN15" s="34" t="s">
        <v>59</v>
      </c>
      <c r="BO15" s="62" t="e">
        <f>IF((BO3+BO6+BO8+BP9)*BH11=4,"            CRD!"," ")</f>
        <v>#DIV/0!</v>
      </c>
      <c r="BP15" s="34" t="s">
        <v>59</v>
      </c>
      <c r="BQ15" s="34" t="e">
        <f>IF(Y6+Y7=0,1,0)</f>
        <v>#DIV/0!</v>
      </c>
      <c r="BR15" s="34" t="e">
        <f>IF(AA14&lt;0,0,1)</f>
        <v>#DIV/0!</v>
      </c>
      <c r="BS15" s="280" t="s">
        <v>3</v>
      </c>
      <c r="BT15" s="28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</row>
    <row r="16" spans="1:90" s="52" customFormat="1" ht="8.25" customHeight="1" x14ac:dyDescent="0.15">
      <c r="A16" s="255" t="s">
        <v>249</v>
      </c>
      <c r="B16" s="225"/>
      <c r="C16" s="225"/>
      <c r="D16" s="225"/>
      <c r="E16" s="225"/>
      <c r="F16" s="225"/>
      <c r="G16" s="290" t="s">
        <v>222</v>
      </c>
      <c r="H16" s="314" t="s">
        <v>26</v>
      </c>
      <c r="I16" s="255" t="s">
        <v>198</v>
      </c>
      <c r="J16" s="265" t="s">
        <v>5</v>
      </c>
      <c r="K16" s="263">
        <f>F20*BD9</f>
        <v>0</v>
      </c>
      <c r="L16" s="292" t="s">
        <v>25</v>
      </c>
      <c r="M16" s="262" t="s">
        <v>64</v>
      </c>
      <c r="N16" s="263" t="e">
        <f>((N15/(1-B16)*BC3)+(N15/(1-C16)*BC4)+(N15/(1-D16)*BC5)+(N15/(1-E16)*BC6)+(N15/(1-F16)*BC7))+(K17/K14*BL16/(1-B16))+(((K17/K14*BL16/(1-B16))+(K17/K14*BL17/(1-C16))+(K17/K14*BL18/(1-D16))+(K17/K14*BL19/(1-E16))+(K17/K14*BL20/(1-F16)))-(K17/K14))</f>
        <v>#DIV/0!</v>
      </c>
      <c r="O16" s="270" t="e">
        <f>(IF(N8="Y",N16,N16*K14)*BE18)+(IF(N8="N",SUM(AG5:AG12)+(AG13*BE24),(SUM(AG5:AG12)+(AG13*BE24))/K14)*BF13)</f>
        <v>#DIV/0!</v>
      </c>
      <c r="P16" s="117" t="str">
        <f>IF(G4="US","  US 1,00 FOB (Y/N)  =&gt;&gt;&gt;",IF(G4="$S","  $S 1,00 FOB (Y/N)  =&gt;&gt;&gt;",IF(G4="SF","  SF 1,00 FOB (Y/N)  =&gt;&gt;&gt;",IF(G4="YJ","  YJ 1,00 FOB (Y/N)  =&gt;&gt;&gt;",IF(G4="EP","  EP 1,00 FOB (Y/N)  =&gt;&gt;&gt;",IF(G4="$O","  $O 1,00 FOB (Y/N)  =&gt;&gt;&gt;",IF(G4="YC"," YC 1,00 FOB (Y/N)  =&gt;&gt;&gt;",IF(G4="EU","  EU 1,00 FOB (Y/N) =&gt;&gt;&gt;"))))))))</f>
        <v xml:space="preserve">  US 1,00 FOB (Y/N)  =&gt;&gt;&gt;</v>
      </c>
      <c r="Q16" s="306" t="s">
        <v>16</v>
      </c>
      <c r="R16" s="315"/>
      <c r="S16" s="316"/>
      <c r="T16" s="117" t="str">
        <f>P16</f>
        <v xml:space="preserve">  US 1,00 FOB (Y/N)  =&gt;&gt;&gt;</v>
      </c>
      <c r="U16" s="306" t="s">
        <v>16</v>
      </c>
      <c r="V16" s="178"/>
      <c r="W16" s="102" t="s">
        <v>219</v>
      </c>
      <c r="X16" s="103" t="s">
        <v>5</v>
      </c>
      <c r="Y16" s="305" t="e">
        <f>F21*BF20</f>
        <v>#DIV/0!</v>
      </c>
      <c r="Z16" s="317"/>
      <c r="AA16" s="318"/>
      <c r="AB16" s="144" t="s">
        <v>34</v>
      </c>
      <c r="AC16" s="307" t="e">
        <f>F21*BF13*BF20*BH7*BF18</f>
        <v>#DIV/0!</v>
      </c>
      <c r="AD16" s="308">
        <f>IF((BD3+BD4)*BD8=1,F21*BF13*BF18*BF20,0)</f>
        <v>0</v>
      </c>
      <c r="AE16" s="269" t="s">
        <v>149</v>
      </c>
      <c r="AF16" s="165"/>
      <c r="AG16" s="166">
        <f t="shared" si="0"/>
        <v>0</v>
      </c>
      <c r="AH16" s="263">
        <f>(0.05*K6*K7*BE16*K14)*BE15</f>
        <v>0</v>
      </c>
      <c r="AI16" s="270">
        <f>(AG16-AH16)*BF13</f>
        <v>0</v>
      </c>
      <c r="AJ16" s="288">
        <f>AI16/(AH16+BF21)</f>
        <v>0</v>
      </c>
      <c r="AK16" s="319" t="s">
        <v>18</v>
      </c>
      <c r="AL16" s="320">
        <f>IF(G25=1,0,AL15-AL14)</f>
        <v>0</v>
      </c>
      <c r="AM16" s="320">
        <f>IF(G25=1,0,AM15-AM14)</f>
        <v>0</v>
      </c>
      <c r="AN16" s="320">
        <f>IF(G25=1,0,AN15-AN14)</f>
        <v>0</v>
      </c>
      <c r="AO16" s="320">
        <f>IF(G25=1,0,AO15-AO14)</f>
        <v>0</v>
      </c>
      <c r="AP16" s="320">
        <f>IF(G25=1,0,AP15-AP14)</f>
        <v>0</v>
      </c>
      <c r="AQ16" s="320">
        <f>IF(G25=1,0,AQ15-AQ14)</f>
        <v>0</v>
      </c>
      <c r="AR16" s="320" t="e">
        <f>AR15-AR14</f>
        <v>#DIV/0!</v>
      </c>
      <c r="AS16" s="178"/>
      <c r="AT16" s="178"/>
      <c r="AU16" s="178"/>
      <c r="AV16" s="178"/>
      <c r="AW16" s="178"/>
      <c r="AX16" s="178"/>
      <c r="AY16" s="178"/>
      <c r="AZ16" s="178"/>
      <c r="BA16" s="178"/>
      <c r="BB16" s="280" t="s">
        <v>2</v>
      </c>
      <c r="BC16" s="57" t="e">
        <f>(((B25*BD12)+(B24*BE14))*B7*1)+(((C25*BD12)+(C24*BE14))*C7)+(((D25*BD12)+(D24*BE14))*D7)+(((E25*BD12)+(E24*BE14))*E7)+(((F25*BD12)+(F24*BE14))*F7)+(AY12*BG7*BF14*BD4)</f>
        <v>#DIV/0!</v>
      </c>
      <c r="BD16" s="48" t="str">
        <f>IF(BF13=0,"PHASE 1","PHASE 2")</f>
        <v>PHASE 1</v>
      </c>
      <c r="BE16" s="48" t="b">
        <f>D19&gt;0</f>
        <v>0</v>
      </c>
      <c r="BF16" s="48" t="b">
        <f>BD8</f>
        <v>0</v>
      </c>
      <c r="BG16" s="48" t="b">
        <f>BG6=0</f>
        <v>1</v>
      </c>
      <c r="BH16" s="48">
        <f>IF(BI5="F-7",1,0)</f>
        <v>0</v>
      </c>
      <c r="BI16" s="48">
        <f>IF(BI2="OK!",1,0)</f>
        <v>0</v>
      </c>
      <c r="BJ16" s="55">
        <f>((E16*E13)/((1-E14-E15)*(1-E16)))</f>
        <v>0</v>
      </c>
      <c r="BK16" s="50" t="e">
        <f>BK17=0</f>
        <v>#DIV/0!</v>
      </c>
      <c r="BL16" s="44" t="e">
        <f>B16*100/BL15</f>
        <v>#DIV/0!</v>
      </c>
      <c r="BM16" s="63" t="e">
        <f>IF((BM2+BM7+BM9)*BH11=3,"        IPI?"," ")</f>
        <v>#DIV/0!</v>
      </c>
      <c r="BN16" s="35" t="s">
        <v>59</v>
      </c>
      <c r="BO16" s="62" t="e">
        <f>IF((BO2+BO7+BO9+BP9)*BH11=4,"           PIS?"," ")</f>
        <v>#DIV/0!</v>
      </c>
      <c r="BP16" s="34" t="s">
        <v>59</v>
      </c>
      <c r="BQ16" s="34" t="e">
        <f>((R9/(1+R11)*R11)-AG9)*BF4*BF18*-1</f>
        <v>#DIV/0!</v>
      </c>
      <c r="BR16" s="34" t="s">
        <v>59</v>
      </c>
      <c r="BS16" s="280" t="s">
        <v>3</v>
      </c>
      <c r="BT16" s="28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</row>
    <row r="17" spans="1:90" s="52" customFormat="1" ht="8.25" customHeight="1" x14ac:dyDescent="0.15">
      <c r="A17" s="255" t="s">
        <v>250</v>
      </c>
      <c r="B17" s="225"/>
      <c r="C17" s="225"/>
      <c r="D17" s="225"/>
      <c r="E17" s="225"/>
      <c r="F17" s="225"/>
      <c r="G17" s="321" t="s">
        <v>217</v>
      </c>
      <c r="H17" s="322" t="s">
        <v>216</v>
      </c>
      <c r="I17" s="255" t="s">
        <v>102</v>
      </c>
      <c r="J17" s="265" t="s">
        <v>5</v>
      </c>
      <c r="K17" s="263">
        <f>B21*BD9</f>
        <v>0</v>
      </c>
      <c r="L17" s="292" t="s">
        <v>25</v>
      </c>
      <c r="M17" s="262" t="str">
        <f>IF(G10=0,"no Function  =&gt;&gt;",IF(BE24=1,"no Function  =&gt;&gt;","INSURANCE"))</f>
        <v>no Function  =&gt;&gt;</v>
      </c>
      <c r="N17" s="263" t="e">
        <f>IF(BE24=1,N16,(N16+(N10*G10*BE11)))</f>
        <v>#DIV/0!</v>
      </c>
      <c r="O17" s="270" t="e">
        <f>(IF(H10="N",(SUM(AH5:AH13))*BL22/K14))+((IF(N8="Y",N17,N17*K14)*BE18)+(IF(N8="N",SUM(AG5:AG12)+(AG13*BE24),(SUM(AG5:AG12)+(AG13*BE24))/K14)*BF13))*BE24</f>
        <v>#DIV/0!</v>
      </c>
      <c r="P17" s="323" t="s">
        <v>116</v>
      </c>
      <c r="Q17" s="324" t="s">
        <v>34</v>
      </c>
      <c r="R17" s="325" t="s">
        <v>117</v>
      </c>
      <c r="S17" s="326"/>
      <c r="T17" s="323" t="s">
        <v>118</v>
      </c>
      <c r="U17" s="324" t="s">
        <v>34</v>
      </c>
      <c r="V17" s="327" t="str">
        <f>CONCATENATE(BN17,BN18,BN19,BN20,BN21)</f>
        <v xml:space="preserve">PHASE 1 - PRICE    </v>
      </c>
      <c r="W17" s="102" t="s">
        <v>129</v>
      </c>
      <c r="X17" s="103" t="s">
        <v>5</v>
      </c>
      <c r="Y17" s="305" t="e">
        <f>B22*BF20</f>
        <v>#DIV/0!</v>
      </c>
      <c r="Z17" s="317"/>
      <c r="AA17" s="328"/>
      <c r="AB17" s="144" t="s">
        <v>34</v>
      </c>
      <c r="AC17" s="307" t="e">
        <f>B22*BF13*BF20*BH7*BF18</f>
        <v>#DIV/0!</v>
      </c>
      <c r="AD17" s="308">
        <f>IF((BD3+BD4)*BD8=1,B22*BF13*BF18*BF20,0)</f>
        <v>0</v>
      </c>
      <c r="AE17" s="269" t="s">
        <v>150</v>
      </c>
      <c r="AF17" s="165"/>
      <c r="AG17" s="166">
        <f t="shared" si="0"/>
        <v>0</v>
      </c>
      <c r="AH17" s="263">
        <f>K20</f>
        <v>0</v>
      </c>
      <c r="AI17" s="270">
        <f>(AG17-AH17)*BF13</f>
        <v>0</v>
      </c>
      <c r="AJ17" s="288">
        <f>AI17/(AH17+BF21)</f>
        <v>0</v>
      </c>
      <c r="AK17" s="329"/>
      <c r="AL17" s="330" t="s">
        <v>163</v>
      </c>
      <c r="AM17" s="178"/>
      <c r="AN17" s="331">
        <f>IF(AK15=1,0,AR16/AR14)</f>
        <v>0</v>
      </c>
      <c r="AO17" s="332" t="s">
        <v>164</v>
      </c>
      <c r="AP17" s="128"/>
      <c r="AQ17" s="330" t="s">
        <v>201</v>
      </c>
      <c r="AR17" s="331" t="e">
        <f>AR14/R9</f>
        <v>#DIV/0!</v>
      </c>
      <c r="AS17" s="81"/>
      <c r="AT17" s="81"/>
      <c r="AU17" s="333" t="s">
        <v>158</v>
      </c>
      <c r="AV17" s="334" t="s">
        <v>158</v>
      </c>
      <c r="AW17" s="110" t="s">
        <v>168</v>
      </c>
      <c r="AX17" s="335" t="s">
        <v>53</v>
      </c>
      <c r="AY17" s="333" t="s">
        <v>158</v>
      </c>
      <c r="AZ17" s="148" t="s">
        <v>55</v>
      </c>
      <c r="BA17" s="94" t="s">
        <v>170</v>
      </c>
      <c r="BB17" s="280" t="s">
        <v>2</v>
      </c>
      <c r="BC17" s="53" t="e">
        <f>(((B25*BD12)+(B24*BE14))*B7*B18)/(BC16+BF21)+(B7*B8*B18/K5*BG7*BF14*BD4)</f>
        <v>#DIV/0!</v>
      </c>
      <c r="BD17" s="58" t="e">
        <f>(AC6+AC8+AC9+AC11+AC13)*BL13</f>
        <v>#DIV/0!</v>
      </c>
      <c r="BE17" s="48" t="b">
        <f>F19&gt;0</f>
        <v>0</v>
      </c>
      <c r="BF17" s="48" t="b">
        <f>OR(BF13=0,BF15=0)</f>
        <v>1</v>
      </c>
      <c r="BG17" s="48" t="b">
        <f>NOT((SUM(AW7:AW11)+AX6+AY12)=0)</f>
        <v>0</v>
      </c>
      <c r="BH17" s="48">
        <f>IF(BH12+BD3+BD8+BE18+BH13=5,1,0)</f>
        <v>0</v>
      </c>
      <c r="BI17" s="48">
        <f>IF(BD12+BE14+BD3+BD4+BD7+BD8+BE18+BF22=5,1,0)</f>
        <v>0</v>
      </c>
      <c r="BJ17" s="55">
        <f>((F16*F13)/((1-F14-F15)*(1-F16)))</f>
        <v>0</v>
      </c>
      <c r="BK17" s="50" t="e">
        <f>Y14&gt;Y13</f>
        <v>#DIV/0!</v>
      </c>
      <c r="BL17" s="44" t="e">
        <f>C16*100/BL15</f>
        <v>#DIV/0!</v>
      </c>
      <c r="BM17" s="63" t="e">
        <f>IF((BM3+BM7+BM8)*BH11=3,"     IPI!"," ")</f>
        <v>#DIV/0!</v>
      </c>
      <c r="BN17" s="68" t="str">
        <f>IF(BD2+BD7=2,"PHASE 1 - PRICE"," ")</f>
        <v>PHASE 1 - PRICE</v>
      </c>
      <c r="BO17" s="63" t="e">
        <f>IF((BO3+BO7+BO8+BP9)*BH11=4,"         PIS!"," ")</f>
        <v>#DIV/0!</v>
      </c>
      <c r="BP17" s="34" t="s">
        <v>59</v>
      </c>
      <c r="BQ17" s="34" t="e">
        <f>((R9*R12)-AG10)*BF7*BD12*BF18*-1</f>
        <v>#DIV/0!</v>
      </c>
      <c r="BR17" s="34" t="s">
        <v>59</v>
      </c>
      <c r="BS17" s="280" t="s">
        <v>3</v>
      </c>
      <c r="BT17" s="28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</row>
    <row r="18" spans="1:90" s="52" customFormat="1" ht="8.25" customHeight="1" x14ac:dyDescent="0.15">
      <c r="A18" s="255" t="s">
        <v>77</v>
      </c>
      <c r="B18" s="225"/>
      <c r="C18" s="225"/>
      <c r="D18" s="225"/>
      <c r="E18" s="225"/>
      <c r="F18" s="225"/>
      <c r="G18" s="282" t="s">
        <v>89</v>
      </c>
      <c r="H18" s="336"/>
      <c r="I18" s="255" t="s">
        <v>103</v>
      </c>
      <c r="J18" s="265" t="s">
        <v>5</v>
      </c>
      <c r="K18" s="263">
        <f>D21*BD9</f>
        <v>0</v>
      </c>
      <c r="L18" s="292" t="s">
        <v>25</v>
      </c>
      <c r="M18" s="337" t="str">
        <f>IF(G4="US","TOTAL  US  =&gt;&gt;&gt;",IF(G4="$S","TOTAL  $S  =&gt;&gt;&gt;",IF(G4="SF","TOTAL  SF  =&gt;&gt;&gt;",IF(G4="YJ","TOTAL  YJ  =&gt;&gt;&gt;",IF(G4="EP","TOTAL  EP  =&gt;&gt;&gt;",IF(G4="$O","TOTAL  $O  =&gt;&gt;&gt;",IF(G4="YC","TOTAL  YC  =&gt;&gt;&gt;",IF(G4="EU","TOTAL  EU  =&gt;&gt;&gt;"))))))))</f>
        <v>TOTAL  US  =&gt;&gt;&gt;</v>
      </c>
      <c r="N18" s="263" t="e">
        <f>N17+((K17+K18+K20+K21+K22+(K23*1.05)+(K16*3*BE20*1.05)+(K24*BE21*1.05)+(K16*6*BE22*1.05))/K14)</f>
        <v>#DIV/0!</v>
      </c>
      <c r="O18" s="270" t="e">
        <f>O20/K14</f>
        <v>#DIV/0!</v>
      </c>
      <c r="P18" s="338" t="s">
        <v>122</v>
      </c>
      <c r="Q18" s="339" t="str">
        <f>G4</f>
        <v>US</v>
      </c>
      <c r="R18" s="340" t="e">
        <f>(N18+(Y21/R5))/BL23</f>
        <v>#DIV/0!</v>
      </c>
      <c r="S18" s="341"/>
      <c r="T18" s="342" t="s">
        <v>122</v>
      </c>
      <c r="U18" s="343" t="str">
        <f>G4</f>
        <v>US</v>
      </c>
      <c r="V18" s="344" t="e">
        <f>IF(BH11=0,(((N20+Y21)/R5*BD2)+((O20+AC21)/V5*BD3))/BL25,((V24/R5*BD2)+(V24/V5*BF18)))</f>
        <v>#DIV/0!</v>
      </c>
      <c r="W18" s="102" t="s">
        <v>130</v>
      </c>
      <c r="X18" s="103" t="s">
        <v>5</v>
      </c>
      <c r="Y18" s="305" t="e">
        <f>R9*H27*BF20*BH11</f>
        <v>#DIV/0!</v>
      </c>
      <c r="Z18" s="317"/>
      <c r="AA18" s="328"/>
      <c r="AB18" s="144" t="s">
        <v>34</v>
      </c>
      <c r="AC18" s="307" t="e">
        <f>((V14*BF13*BF15)+(V14*BF16*BF17)+(BA14*BF14*BF19))*H27*BF18*BF20*BH7*BH11</f>
        <v>#DIV/0!</v>
      </c>
      <c r="AD18" s="345">
        <f>IF((BD3+BD4)*BD8=1,((R9*BF13*BF15)+(R9*BF16*BF17)+(BA14*BF14*BF19))*H27*BF18*BF20*BH7,0)</f>
        <v>0</v>
      </c>
      <c r="AE18" s="269" t="s">
        <v>231</v>
      </c>
      <c r="AF18" s="165"/>
      <c r="AG18" s="166">
        <f t="shared" si="0"/>
        <v>0</v>
      </c>
      <c r="AH18" s="263">
        <f>K17</f>
        <v>0</v>
      </c>
      <c r="AI18" s="270">
        <f>(AG18-AH18)*BF13</f>
        <v>0</v>
      </c>
      <c r="AJ18" s="288">
        <f>AI18/(AH18+BF21)</f>
        <v>0</v>
      </c>
      <c r="AK18" s="128"/>
      <c r="AL18" s="346" t="e">
        <f>IF((AA7*AA10*AA12*AA14)+BL4=0," FUTURE CREDITS !!!  SEA FRAME F-4",IF(BR12*BR13*BR14*BR15=0," FUTURE CREDITS !!! / ???  SEA FRAME F-4"," "))</f>
        <v>#DIV/0!</v>
      </c>
      <c r="AM18" s="128"/>
      <c r="AN18" s="347"/>
      <c r="AO18" s="128"/>
      <c r="AP18" s="128"/>
      <c r="AQ18" s="348" t="str">
        <f>IF(AK15=1,"PHASE 1:    =&gt;",IF(AK15=2,"PHASE 2:    =&gt;",IF(AK15=3,"PHASE 3:    =&gt;")))</f>
        <v>PHASE 1:    =&gt;</v>
      </c>
      <c r="AR18" s="331" t="e">
        <f>IF(AR10=0,"            ! ! !",AR15/AR10)</f>
        <v>#DIV/0!</v>
      </c>
      <c r="AS18" s="86" t="s">
        <v>8</v>
      </c>
      <c r="AT18" s="148" t="s">
        <v>72</v>
      </c>
      <c r="AU18" s="349" t="str">
        <f>IF(AU25="PHASE 1","PHASE 1","PHASE 2")</f>
        <v>PHASE 1</v>
      </c>
      <c r="AV18" s="334" t="s">
        <v>224</v>
      </c>
      <c r="AW18" s="110" t="s">
        <v>53</v>
      </c>
      <c r="AX18" s="335" t="s">
        <v>54</v>
      </c>
      <c r="AY18" s="333" t="s">
        <v>169</v>
      </c>
      <c r="AZ18" s="148" t="s">
        <v>9</v>
      </c>
      <c r="BA18" s="94" t="s">
        <v>9</v>
      </c>
      <c r="BB18" s="280" t="s">
        <v>2</v>
      </c>
      <c r="BC18" s="53" t="e">
        <f>(((C25*BD12)+(C24*BE14))*C7*C18)/(BC16+BF21)+(C7*C8*C18/K5*BG7*BF14*BD4)</f>
        <v>#DIV/0!</v>
      </c>
      <c r="BD18" s="58" t="s">
        <v>59</v>
      </c>
      <c r="BE18" s="48" t="b">
        <f>BF13=0</f>
        <v>1</v>
      </c>
      <c r="BF18" s="48" t="b">
        <f>G25&lt;&gt;1</f>
        <v>0</v>
      </c>
      <c r="BG18" s="54" t="b">
        <f>AND(BG17=0,BF22=1)</f>
        <v>0</v>
      </c>
      <c r="BH18" s="48">
        <f>IF(BH24="OK!",2,0)</f>
        <v>0</v>
      </c>
      <c r="BI18" s="48">
        <f>IF(BH12+BD3+BD7+BE18+BF22=5,1,0)</f>
        <v>0</v>
      </c>
      <c r="BJ18" s="58">
        <f>IF(G22="N",1)</f>
        <v>1</v>
      </c>
      <c r="BK18" s="50" t="b">
        <f>OR(H21="COF",H21="N")</f>
        <v>1</v>
      </c>
      <c r="BL18" s="44" t="e">
        <f>D16*100/BL15</f>
        <v>#DIV/0!</v>
      </c>
      <c r="BM18" s="63" t="e">
        <f>IF((BM4+BM5+BM9)*BH11=3,"   ICMS?"," ")</f>
        <v>#DIV/0!</v>
      </c>
      <c r="BN18" s="63" t="str">
        <f>IF(BD3+BD7=2,"PHASE 2 - PRICE"," ")</f>
        <v xml:space="preserve"> </v>
      </c>
      <c r="BO18" s="63" t="e">
        <f>IF((BO4+BO5+BO9+BP9)*BH11=4,"       COF?"," ")</f>
        <v>#DIV/0!</v>
      </c>
      <c r="BP18" s="34" t="e">
        <f>(Y6-Y7)*BF4*-1</f>
        <v>#DIV/0!</v>
      </c>
      <c r="BQ18" s="34" t="e">
        <f>((R9/(1+R11)*R12)-AG10)*BF9*BE14*BF18*-1</f>
        <v>#DIV/0!</v>
      </c>
      <c r="BR18" s="34" t="s">
        <v>59</v>
      </c>
      <c r="BS18" s="280" t="s">
        <v>3</v>
      </c>
      <c r="BT18" s="28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</row>
    <row r="19" spans="1:90" s="52" customFormat="1" ht="8.25" customHeight="1" x14ac:dyDescent="0.15">
      <c r="A19" s="255" t="s">
        <v>80</v>
      </c>
      <c r="B19" s="350"/>
      <c r="C19" s="265" t="str">
        <f>IF(BP10+BP11=2,"??? =&gt;&gt;&gt;",IF(F19&lt;&gt;0,"no Funct. =&gt;&gt;&gt;","FREIGHT SEA"))</f>
        <v>FREIGHT SEA</v>
      </c>
      <c r="D19" s="351"/>
      <c r="E19" s="265" t="str">
        <f>IF(BP10+BP11=2,"??? =&gt;&gt;&gt;",IF(D19&lt;&gt;0,"no Funct. =&gt;&gt;&gt;","FREIGHT AIR"))</f>
        <v>FREIGHT AIR</v>
      </c>
      <c r="F19" s="352"/>
      <c r="G19" s="353" t="s">
        <v>50</v>
      </c>
      <c r="H19" s="354" t="s">
        <v>51</v>
      </c>
      <c r="I19" s="255" t="s">
        <v>104</v>
      </c>
      <c r="J19" s="265" t="s">
        <v>5</v>
      </c>
      <c r="K19" s="263" t="e">
        <f>((N11-N10)+(N17-N16))*K14</f>
        <v>#DIV/0!</v>
      </c>
      <c r="L19" s="292" t="s">
        <v>25</v>
      </c>
      <c r="M19" s="337" t="s">
        <v>27</v>
      </c>
      <c r="N19" s="263" t="e">
        <f>N18*B20/D20</f>
        <v>#DIV/0!</v>
      </c>
      <c r="O19" s="270" t="e">
        <f>O20/K15</f>
        <v>#DIV/0!</v>
      </c>
      <c r="P19" s="355" t="str">
        <f>IF(BH11=0,"TOTAL COST","RESALE VALUE")</f>
        <v>RESALE VALUE</v>
      </c>
      <c r="Q19" s="184" t="str">
        <f>G4</f>
        <v>US</v>
      </c>
      <c r="R19" s="356" t="e">
        <f>IF(BH11=0,R18,N18/(1-R7)/BL23)</f>
        <v>#DIV/0!</v>
      </c>
      <c r="S19" s="357"/>
      <c r="T19" s="358" t="str">
        <f>IF(BH11=0,"TOTAL COST","RESALE VALUE")</f>
        <v>RESALE VALUE</v>
      </c>
      <c r="U19" s="359" t="str">
        <f>G4</f>
        <v>US</v>
      </c>
      <c r="V19" s="360" t="e">
        <f>IF(BH11=0,(((N20+Y21)/R5*BD2)+((O20+AC21)/V5*BD3))/BL25,(V25/R5*BD2)+(V25/V5*BF18))</f>
        <v>#DIV/0!</v>
      </c>
      <c r="W19" s="102" t="s">
        <v>113</v>
      </c>
      <c r="X19" s="103" t="s">
        <v>5</v>
      </c>
      <c r="Y19" s="305" t="e">
        <f>(K5*R5*(BE8+((N22-1)*BE9))*((R10+1)^(1/30*S10)-1))*BF20</f>
        <v>#DIV/0!</v>
      </c>
      <c r="Z19" s="361"/>
      <c r="AA19" s="362"/>
      <c r="AB19" s="144" t="s">
        <v>34</v>
      </c>
      <c r="AC19" s="307" t="e">
        <f>(((AG5+AG6)*BE8)+((AG24-AG5-AG6)*BE9))*(((R10+1)^(1/30*S10)-1))*BF13*BF20*BH7*BF18</f>
        <v>#DIV/0!</v>
      </c>
      <c r="AD19" s="224">
        <f>IF((BD3+BD4)*BD8=1,(((AG5+AG6)*BE8)+((AG24-AG5-AG6)*BE9))*(((R10+1)^(1/30*S10)-1))*BF13*BF18*BF20*BH7,0)</f>
        <v>0</v>
      </c>
      <c r="AE19" s="269" t="s">
        <v>227</v>
      </c>
      <c r="AF19" s="165"/>
      <c r="AG19" s="166">
        <f t="shared" si="0"/>
        <v>0</v>
      </c>
      <c r="AH19" s="263">
        <f>K23*1.05</f>
        <v>0</v>
      </c>
      <c r="AI19" s="270">
        <f>(AG19-AH19)*BF13</f>
        <v>0</v>
      </c>
      <c r="AJ19" s="288">
        <f>AI19/(AH19+BF21)</f>
        <v>0</v>
      </c>
      <c r="AK19" s="71" t="s">
        <v>232</v>
      </c>
      <c r="AL19" s="128"/>
      <c r="AM19" s="128"/>
      <c r="AN19" s="128"/>
      <c r="AO19" s="128"/>
      <c r="AP19" s="128"/>
      <c r="AQ19" s="128"/>
      <c r="AR19" s="128"/>
      <c r="AS19" s="140" t="s">
        <v>7</v>
      </c>
      <c r="AT19" s="363" t="str">
        <f>B6</f>
        <v>AA</v>
      </c>
      <c r="AU19" s="182">
        <f>IF(B7=0,0,((R9*BK2/(B7+BP13))*BD2)+((((R9*BK2/(B7+BP13))*BD8)+((V14*BK2/(B7+BP13))*BD7))*BF18))</f>
        <v>0</v>
      </c>
      <c r="AV19" s="168">
        <f>AU19*(1-((AX6/100*BF25)+(AX7/100*BG2)))*BF14*BG21</f>
        <v>0</v>
      </c>
      <c r="AW19" s="364">
        <f>IF(B7=0,0,(B7*BF14*BG12)+(AW7*BG2))</f>
        <v>0</v>
      </c>
      <c r="AX19" s="181">
        <f>B7-AW19</f>
        <v>0</v>
      </c>
      <c r="AY19" s="365">
        <f>IF(B7=0,0,BI23)*BF14</f>
        <v>0</v>
      </c>
      <c r="AZ19" s="229">
        <f>IF(B7=0,0,((AY19/(AU19+BF21))-1)*BF14*BG21)</f>
        <v>0</v>
      </c>
      <c r="BA19" s="279">
        <f>AU19*(AW19+AX19)*AZ19*BF14</f>
        <v>0</v>
      </c>
      <c r="BB19" s="280" t="s">
        <v>2</v>
      </c>
      <c r="BC19" s="53" t="e">
        <f>(((D25*BD12)+(D24*BE14))*D7*D18)/(BC16+BF21)+(D7*D8*D18/K5*BG7*BF14*BD4)</f>
        <v>#DIV/0!</v>
      </c>
      <c r="BD19" s="58" t="e">
        <f>(AA7+AA10+AA12+AA14)*BL13</f>
        <v>#DIV/0!</v>
      </c>
      <c r="BE19" s="48" t="b">
        <f>G12&gt;0</f>
        <v>0</v>
      </c>
      <c r="BF19" s="48" t="b">
        <f>BD4</f>
        <v>0</v>
      </c>
      <c r="BG19" s="48" t="b">
        <f>NOT(SUM(AX7:AX11)&gt;=1)</f>
        <v>1</v>
      </c>
      <c r="BH19" s="48">
        <f>IF(BD12+BE14+BD2+BD8+BF13+BH13=5,1,0)</f>
        <v>0</v>
      </c>
      <c r="BI19" s="48">
        <f>IF(BH12+BD3+BD4+BD8+BE18+BF22=5,1,0)</f>
        <v>0</v>
      </c>
      <c r="BJ19" s="58" t="b">
        <f>IF(G22="Y",1)</f>
        <v>0</v>
      </c>
      <c r="BK19" s="50" t="s">
        <v>59</v>
      </c>
      <c r="BL19" s="44" t="e">
        <f>E16*100/BL15</f>
        <v>#DIV/0!</v>
      </c>
      <c r="BM19" s="63" t="e">
        <f>IF((BM4+BM6+BM8)*BH11=3,"ICMS!"," ")</f>
        <v>#DIV/0!</v>
      </c>
      <c r="BN19" s="63" t="str">
        <f>IF(BD3+BD8=2,"PHASE 2 - MARGIN"," ")</f>
        <v xml:space="preserve"> </v>
      </c>
      <c r="BO19" s="63" t="e">
        <f>IF((BO4+BO6+BO8+BP9)*BH11=4,"     COF!"," ")</f>
        <v>#DIV/0!</v>
      </c>
      <c r="BP19" s="34" t="e">
        <f>(Y8-Y10)*BF7*BD12*-1</f>
        <v>#DIV/0!</v>
      </c>
      <c r="BQ19" s="34" t="e">
        <f>((R9*(1-R11)*R13)-AG11)*BK7*BK14*BF18*-1</f>
        <v>#DIV/0!</v>
      </c>
      <c r="BR19" s="34" t="s">
        <v>59</v>
      </c>
      <c r="BS19" s="280" t="s">
        <v>3</v>
      </c>
      <c r="BT19" s="28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</row>
    <row r="20" spans="1:90" ht="8.25" customHeight="1" x14ac:dyDescent="0.15">
      <c r="A20" s="102" t="str">
        <f>IF(G4="US","EXCHANGE US",IF(G4="$S","EXCHANGE $S",IF(G4="SF","EXCHANGE SF",IF(G4="YJ","EXCHANGE YJ",IF(G4="EP","EXCHANGE EP",IF(G4="$O","EXCHANGE $O",IF(G4="YC","EXCHANGE YC",IF(G4="EU","EXCHANGE EU"))))))))</f>
        <v>EXCHANGE US</v>
      </c>
      <c r="B20" s="366"/>
      <c r="C20" s="103" t="str">
        <f>IF(D20=0,"EXCHGE US ??","EXCHANGE US")</f>
        <v>EXCHGE US ??</v>
      </c>
      <c r="D20" s="366"/>
      <c r="E20" s="103" t="str">
        <f>IF(F20=0,"MIN. WAGE ???","MIN. WAGE")</f>
        <v>MIN. WAGE ???</v>
      </c>
      <c r="F20" s="367"/>
      <c r="G20" s="368" t="e">
        <f>IF(BH11=0,"n/Fc.",CONCATENATE(BM12,BM13,BM14,BM15,BM16,BM17,BM18,BM19,BM20,BM21,BM22,BM23,BM24,BM25,BN2,BN3,BN4))</f>
        <v>#DIV/0!</v>
      </c>
      <c r="H20" s="369" t="e">
        <f>IF(BH11=0,"n/Fc.",CONCATENATE(BO12,BO13,BO14,BO15,BO16,BO17,BO18,BO19,BO20,BO21,BO22,BO23,BO24,BO25,BP2,BP3,BP4,BP5,BP6,BP7))</f>
        <v>#DIV/0!</v>
      </c>
      <c r="I20" s="102" t="s">
        <v>233</v>
      </c>
      <c r="J20" s="103" t="s">
        <v>5</v>
      </c>
      <c r="K20" s="182">
        <f>(90*G12*BE19)*BD9</f>
        <v>0</v>
      </c>
      <c r="L20" s="171" t="s">
        <v>25</v>
      </c>
      <c r="M20" s="79" t="s">
        <v>28</v>
      </c>
      <c r="N20" s="182" t="e">
        <f>N18*K14</f>
        <v>#DIV/0!</v>
      </c>
      <c r="O20" s="168" t="e">
        <f>(IF(N8="Y",N20,N20)*BE18)+IF(N8="N",SUM(AG5:AG22),SUM(AG5:AG22))*BF13</f>
        <v>#DIV/0!</v>
      </c>
      <c r="P20" s="370" t="str">
        <f>IF(BH11=0," ","PROF/LOSS AFTER RSALE")</f>
        <v>PROF/LOSS AFTER RSALE</v>
      </c>
      <c r="Q20" s="371" t="str">
        <f>IF(BH11=0," ",G4)</f>
        <v>US</v>
      </c>
      <c r="R20" s="372" t="e">
        <f>IF(BH11=0," ",Y22/R5/BL23)</f>
        <v>#DIV/0!</v>
      </c>
      <c r="S20" s="373"/>
      <c r="T20" s="374" t="str">
        <f>IF(BH11=0," ","PROF/LOSS AFTER RSALE")</f>
        <v>PROF/LOSS AFTER RSALE</v>
      </c>
      <c r="U20" s="375" t="str">
        <f>IF(BH11=0," ",G4)</f>
        <v>US</v>
      </c>
      <c r="V20" s="376" t="e">
        <f>(IF(BD2*BH11=1,Y22/R5,IF((BD3+BD4)*BD7=1,AC22/V5,IF((BD3+BD4)*BD8=1,AD22/V5)))*BH11)/BL25</f>
        <v>#DIV/0!</v>
      </c>
      <c r="W20" s="102" t="str">
        <f>IF(BH11=1,"CPMF (IMPORT+RESALE)","CPMF")</f>
        <v>CPMF (IMPORT+RESALE)</v>
      </c>
      <c r="X20" s="103" t="s">
        <v>5</v>
      </c>
      <c r="Y20" s="305" t="e">
        <f>R9*H12*BF20</f>
        <v>#DIV/0!</v>
      </c>
      <c r="Z20" s="103" t="s">
        <v>5</v>
      </c>
      <c r="AA20" s="377" t="e">
        <f>Y20</f>
        <v>#DIV/0!</v>
      </c>
      <c r="AB20" s="144" t="s">
        <v>34</v>
      </c>
      <c r="AC20" s="307" t="e">
        <f>(V14-(V14*BD4*(-AZ14)))*H12*BF13*BF18</f>
        <v>#DIV/0!</v>
      </c>
      <c r="AD20" s="224">
        <f>IF((BD3+BD4)*BD8=1,(R9*BF18-(R9*BD4*(-AZ14)))*H12*BF13*BF18,0)</f>
        <v>0</v>
      </c>
      <c r="AE20" s="190" t="s">
        <v>228</v>
      </c>
      <c r="AF20" s="165"/>
      <c r="AG20" s="166">
        <f t="shared" si="0"/>
        <v>0</v>
      </c>
      <c r="AH20" s="182">
        <f>(((K16*3*BE20)+(K24*BE21)+(K16*6*BE22))*1.05)*BE15</f>
        <v>0</v>
      </c>
      <c r="AI20" s="168">
        <f>(AG20-AH20)*BF13</f>
        <v>0</v>
      </c>
      <c r="AJ20" s="169">
        <f>AI20/(AH20+BF21)</f>
        <v>0</v>
      </c>
      <c r="AK20" s="378"/>
      <c r="AL20" s="379"/>
      <c r="AM20" s="379"/>
      <c r="AN20" s="379"/>
      <c r="AO20" s="379"/>
      <c r="AP20" s="379"/>
      <c r="AQ20" s="379"/>
      <c r="AR20" s="380"/>
      <c r="AS20" s="140" t="s">
        <v>10</v>
      </c>
      <c r="AT20" s="363" t="str">
        <f>C6</f>
        <v>BB</v>
      </c>
      <c r="AU20" s="182">
        <f>IF(C7=0,0,((R9*BK3/(C7+BP13))*BD2)+((((R9*BK3/(C7+BP13))*BD8)+((V14*BK3/(C7+BP13))*BD7))*BF18))</f>
        <v>0</v>
      </c>
      <c r="AV20" s="168">
        <f>AU20*(1-((AX6/100*BF25)+(AX8/100*BG3)))*BF14*BG21</f>
        <v>0</v>
      </c>
      <c r="AW20" s="364">
        <f>IF(C7=0,0,(C7*BF14*BG13)+(AW8*BG3))</f>
        <v>0</v>
      </c>
      <c r="AX20" s="181">
        <f>C7-AW20</f>
        <v>0</v>
      </c>
      <c r="AY20" s="365">
        <f>IF(C7=0,0,BI21)*BF14</f>
        <v>0</v>
      </c>
      <c r="AZ20" s="229">
        <f>IF(C7=0,0,((AY20/(AU20+BF21))-1)*BF14*BG21)</f>
        <v>0</v>
      </c>
      <c r="BA20" s="279">
        <f>AU20*(AW20+AX20)*AZ20*BF14</f>
        <v>0</v>
      </c>
      <c r="BB20" s="95" t="s">
        <v>2</v>
      </c>
      <c r="BC20" s="40" t="e">
        <f>(((E25*BD12)+(E24*BE14))*E7*E18)/(BC16+BF21)+(E7*E8*E18/K5*BG7*BF14*BD4)</f>
        <v>#DIV/0!</v>
      </c>
      <c r="BD20" s="42" t="s">
        <v>59</v>
      </c>
      <c r="BE20" s="34" t="b">
        <f>AND(K24&gt;0,K24&lt;(3*K16))</f>
        <v>0</v>
      </c>
      <c r="BF20" s="34" t="e">
        <f>IF(SUM(B25:F25)=0,0,1)</f>
        <v>#DIV/0!</v>
      </c>
      <c r="BG20" s="34" t="b">
        <f>OR(BG7=BG19,BG22&lt;&gt;BG19)</f>
        <v>1</v>
      </c>
      <c r="BH20" s="34">
        <f>IF(BI6="F-7",1,0)</f>
        <v>0</v>
      </c>
      <c r="BI20" s="34">
        <f>IF(BH12+BD4+BD7+BE18+BF22=5,1,0)</f>
        <v>0</v>
      </c>
      <c r="BJ20" s="45">
        <f>(B7*B11)*(1+B12)*(1+B13)*(1+B14)*(1+B15)*(1+B16)*(1+B17)*(1+B18)</f>
        <v>0</v>
      </c>
      <c r="BK20" s="46" t="s">
        <v>59</v>
      </c>
      <c r="BL20" s="44" t="e">
        <f>F16*100/BL15</f>
        <v>#DIV/0!</v>
      </c>
      <c r="BM20" s="63" t="e">
        <f>IF((BM2+BM6+BM10)*BH11=3,"IPI?"," ")</f>
        <v>#DIV/0!</v>
      </c>
      <c r="BN20" s="63" t="str">
        <f>IF(BD4+BD7=2,"PHASE 3 - PRICE"," ")</f>
        <v xml:space="preserve"> </v>
      </c>
      <c r="BO20" s="63" t="e">
        <f>IF((BO2+BO6+BO10+BP9)*BH11=4,"   PIS?"," ")</f>
        <v>#DIV/0!</v>
      </c>
      <c r="BP20" s="34" t="e">
        <f>(Y9-Y10)*BF9*BE14*-1</f>
        <v>#DIV/0!</v>
      </c>
      <c r="BQ20" s="34" t="e">
        <f>((R9*(1-R11)*R14)-AG12)*BK7*BK17*BF18*-1</f>
        <v>#DIV/0!</v>
      </c>
      <c r="BR20" s="34" t="s">
        <v>59</v>
      </c>
      <c r="BS20" s="95" t="s">
        <v>3</v>
      </c>
      <c r="BT20" s="96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 ht="8.25" customHeight="1" x14ac:dyDescent="0.15">
      <c r="A21" s="141" t="s">
        <v>81</v>
      </c>
      <c r="B21" s="381"/>
      <c r="C21" s="103" t="s">
        <v>84</v>
      </c>
      <c r="D21" s="381"/>
      <c r="E21" s="103" t="s">
        <v>219</v>
      </c>
      <c r="F21" s="382"/>
      <c r="G21" s="383" t="s">
        <v>16</v>
      </c>
      <c r="H21" s="384" t="s">
        <v>16</v>
      </c>
      <c r="I21" s="102" t="s">
        <v>187</v>
      </c>
      <c r="J21" s="103" t="s">
        <v>5</v>
      </c>
      <c r="K21" s="182">
        <f>(((0.25*K7*K6*BE16*K14)+(((BC23+BD25+BE2)*N11*BE16*K14*1.05)+(BE23*1.05))+(0.05*K6*K7*BE16*K14))*BE15)*BD9</f>
        <v>0</v>
      </c>
      <c r="L21" s="171" t="s">
        <v>25</v>
      </c>
      <c r="M21" s="385"/>
      <c r="N21" s="334" t="str">
        <f>IF(O21="PHASE 1 !!!","IN ACTION =&gt;&gt;&gt;"," ")</f>
        <v xml:space="preserve"> </v>
      </c>
      <c r="O21" s="386" t="str">
        <f>IF(BD2+BE18=1,"PHASE 1 !!!"," ")</f>
        <v xml:space="preserve"> </v>
      </c>
      <c r="P21" s="387" t="s">
        <v>122</v>
      </c>
      <c r="Q21" s="388" t="s">
        <v>35</v>
      </c>
      <c r="R21" s="340" t="e">
        <f>(N19+(Y21/R6))/BL23</f>
        <v>#DIV/0!</v>
      </c>
      <c r="S21" s="357"/>
      <c r="T21" s="389" t="s">
        <v>122</v>
      </c>
      <c r="U21" s="390" t="s">
        <v>35</v>
      </c>
      <c r="V21" s="344" t="e">
        <f>IF(BH11=0,(((N20+Y21)/R6*BD2)+((O20+AC21)/V6*BD3))/BL25,(V24/R6*BD2)+(V24/V6*BF18))</f>
        <v>#DIV/0!</v>
      </c>
      <c r="W21" s="102" t="str">
        <f>IF(BH11=1,"TOTAL COST RESALE","TOTAL COST IMPORT")</f>
        <v>TOTAL COST RESALE</v>
      </c>
      <c r="X21" s="103" t="s">
        <v>5</v>
      </c>
      <c r="Y21" s="391" t="e">
        <f>AA7+AA10+AA12+AA14+SUM(Y15:Y20)</f>
        <v>#DIV/0!</v>
      </c>
      <c r="Z21" s="235"/>
      <c r="AA21" s="377" t="e">
        <f>AA7+AA10+AA12+AA14+AA20</f>
        <v>#DIV/0!</v>
      </c>
      <c r="AB21" s="144" t="s">
        <v>34</v>
      </c>
      <c r="AC21" s="392" t="e">
        <f>AC6+AC8+AC9+AC11+AC13+(SUM(AC15:AC20))</f>
        <v>#DIV/0!</v>
      </c>
      <c r="AD21" s="392">
        <f>AD6+AD8+AD9+AD11+AD13+(SUM(AD15:AD20))</f>
        <v>0</v>
      </c>
      <c r="AE21" s="190" t="s">
        <v>151</v>
      </c>
      <c r="AF21" s="165"/>
      <c r="AG21" s="166">
        <f t="shared" si="0"/>
        <v>0</v>
      </c>
      <c r="AH21" s="182">
        <f>K18</f>
        <v>0</v>
      </c>
      <c r="AI21" s="168">
        <f>(AG21-AH21)*BF13</f>
        <v>0</v>
      </c>
      <c r="AJ21" s="169">
        <f>AI21/(AH21+BF21)</f>
        <v>0</v>
      </c>
      <c r="AK21" s="393"/>
      <c r="AL21" s="394"/>
      <c r="AM21" s="394"/>
      <c r="AN21" s="394"/>
      <c r="AO21" s="394"/>
      <c r="AP21" s="394"/>
      <c r="AQ21" s="394"/>
      <c r="AR21" s="395"/>
      <c r="AS21" s="140" t="s">
        <v>11</v>
      </c>
      <c r="AT21" s="363" t="str">
        <f>D6</f>
        <v>CC</v>
      </c>
      <c r="AU21" s="182">
        <f>IF(D7=0,0,((R9*BK4/(D7+BP13))*BD2)+((((R9*BK4/(D7+BP13))*BD8)+((V14*BK4/(D7+BP13))*BD7))*BF18))</f>
        <v>0</v>
      </c>
      <c r="AV21" s="168">
        <f>AU21*(1-((AX6/100*BF25)+(AX9/100*BG4)))*BF14*BG21</f>
        <v>0</v>
      </c>
      <c r="AW21" s="364">
        <f>IF(D7=0,0,(D7*BF14*BG14)+(AW9*BG4))</f>
        <v>0</v>
      </c>
      <c r="AX21" s="181">
        <f>D7-AW21</f>
        <v>0</v>
      </c>
      <c r="AY21" s="365">
        <f>IF(D7=0,0,BI22)*BF14</f>
        <v>0</v>
      </c>
      <c r="AZ21" s="229">
        <f>IF(D7=0,0,((AY21/(AU21+BF21))-1)*BF14*BG21)</f>
        <v>0</v>
      </c>
      <c r="BA21" s="279">
        <f>AU21*(AW21+AX21)*AZ21*BF14</f>
        <v>0</v>
      </c>
      <c r="BB21" s="95" t="s">
        <v>2</v>
      </c>
      <c r="BC21" s="40" t="e">
        <f>(((F25*BD12)+(F24*BE14))*F7*F18)/(BC16+BF21)+(F7*F8*F18/K5*BG7*BF14*BD4)</f>
        <v>#DIV/0!</v>
      </c>
      <c r="BD21" s="8" t="str">
        <f>IF(BF13*BH11=0,"SITUATION &gt;&gt; PHASE 1 &lt;&lt;","SITUATION &gt;&gt; PHASE 2 &lt;&lt;")</f>
        <v>SITUATION &gt;&gt; PHASE 1 &lt;&lt;</v>
      </c>
      <c r="BE21" s="34" t="b">
        <f>AND(K24&gt;=(3*K16),K24&lt;(6*K16))</f>
        <v>0</v>
      </c>
      <c r="BF21" s="34">
        <f>1/1E+21</f>
        <v>9.9999999999999991E-22</v>
      </c>
      <c r="BG21" s="34" t="b">
        <f>BG7&lt;&gt;1</f>
        <v>1</v>
      </c>
      <c r="BH21" s="35" t="e">
        <f>((AV22*AW22)+(AU22*AX22))/E7</f>
        <v>#DIV/0!</v>
      </c>
      <c r="BI21" s="35" t="e">
        <f>((AV20*AW20)+(AU20*AX20))/C7</f>
        <v>#DIV/0!</v>
      </c>
      <c r="BJ21" s="45">
        <f>(C7*C11)*(1+C12)*(1+C13)*(1+C14)*(1+C15)*(1+C16)*(1+C17)*(1+C18)</f>
        <v>0</v>
      </c>
      <c r="BK21" s="46" t="s">
        <v>59</v>
      </c>
      <c r="BL21" s="34" t="e">
        <f>SUM(BL16:BL20)</f>
        <v>#DIV/0!</v>
      </c>
      <c r="BM21" s="63" t="e">
        <f>IF((BM3+BM5+BM11)*BH11=3,"ICMS?   "," ")</f>
        <v>#DIV/0!</v>
      </c>
      <c r="BN21" s="67" t="str">
        <f>IF(BD4+BD8=2,"PHASE 3 - MARGIN"," ")</f>
        <v xml:space="preserve"> </v>
      </c>
      <c r="BO21" s="63" t="e">
        <f>IF((BO3+BO5+BO11+BP9)*BH11=4," COF?"," ")</f>
        <v>#DIV/0!</v>
      </c>
      <c r="BP21" s="34" t="e">
        <f>(Y11-Y12)*BK7*BK14*-1</f>
        <v>#DIV/0!</v>
      </c>
      <c r="BQ21" s="34" t="b">
        <f>BL4=0</f>
        <v>1</v>
      </c>
      <c r="BR21" s="34" t="s">
        <v>59</v>
      </c>
      <c r="BS21" s="95" t="s">
        <v>3</v>
      </c>
      <c r="BT21" s="96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1:90" ht="8.25" customHeight="1" x14ac:dyDescent="0.15">
      <c r="A22" s="141" t="s">
        <v>82</v>
      </c>
      <c r="B22" s="396"/>
      <c r="C22" s="103" t="str">
        <f>IF(BL4=1,"no Funct. =&gt;&gt;&gt;","MARGIN =&gt;&gt;&gt;")</f>
        <v>MARGIN =&gt;&gt;&gt;</v>
      </c>
      <c r="D22" s="397">
        <v>0</v>
      </c>
      <c r="E22" s="161" t="s">
        <v>83</v>
      </c>
      <c r="F22" s="398" t="e">
        <f>(N22*((BD2*BD7)+(BD3*BD8*BF13)+(BD4*BD8*BF13*BF14)))+(O22*((BD3*BD7*BF13)+(BD4*BD7*BF13*BF14)))</f>
        <v>#DIV/0!</v>
      </c>
      <c r="G22" s="399" t="s">
        <v>16</v>
      </c>
      <c r="H22" s="400" t="s">
        <v>251</v>
      </c>
      <c r="I22" s="102" t="s">
        <v>105</v>
      </c>
      <c r="J22" s="103" t="s">
        <v>5</v>
      </c>
      <c r="K22" s="182" t="e">
        <f>((((BE3+BE4+BE5)*(N11*(K14/K15))*BE17)*BD9)+(0.015*B19*BF24)+(1.5*BF23))*K15</f>
        <v>#DIV/0!</v>
      </c>
      <c r="L22" s="171" t="s">
        <v>25</v>
      </c>
      <c r="M22" s="113" t="s">
        <v>109</v>
      </c>
      <c r="N22" s="391" t="e">
        <f>N18/K5</f>
        <v>#DIV/0!</v>
      </c>
      <c r="O22" s="401" t="e">
        <f>IF(N8="N",O20/K5/K14,O18/K5)</f>
        <v>#DIV/0!</v>
      </c>
      <c r="P22" s="355" t="str">
        <f>IF(BH11=0,"TOTAL COST","RESALE VALUE")</f>
        <v>RESALE VALUE</v>
      </c>
      <c r="Q22" s="402" t="s">
        <v>35</v>
      </c>
      <c r="R22" s="356" t="e">
        <f>IF(BH11=0,R21,N19/(1-R7)/BL23)</f>
        <v>#DIV/0!</v>
      </c>
      <c r="S22" s="357"/>
      <c r="T22" s="358" t="str">
        <f>IF(BH11=0,"TOTAL COST","RESALE VALUE")</f>
        <v>RESALE VALUE</v>
      </c>
      <c r="U22" s="162" t="s">
        <v>35</v>
      </c>
      <c r="V22" s="360" t="e">
        <f>IF(BH11=0,(((N20+Y21)/R6*BD2)+((O20+AC21)/V6*BD3))/BL25,(V25/R6*BD2)+(V25/V6*BF18))</f>
        <v>#DIV/0!</v>
      </c>
      <c r="W22" s="102" t="s">
        <v>131</v>
      </c>
      <c r="X22" s="103" t="s">
        <v>5</v>
      </c>
      <c r="Y22" s="391" t="e">
        <f>(R9-N20-Y21)*BF20*BH11</f>
        <v>#DIV/0!</v>
      </c>
      <c r="Z22" s="108"/>
      <c r="AA22" s="403" t="s">
        <v>131</v>
      </c>
      <c r="AB22" s="144" t="s">
        <v>5</v>
      </c>
      <c r="AC22" s="401">
        <f>(IF(BD3=1,V14-O20-AC21,IF(BD4=1,V14+BA14-O20-AC21)))*BH11</f>
        <v>0</v>
      </c>
      <c r="AD22" s="404" t="e">
        <f>(IF(BD3*BD8=1,(R9-O20-AD21),(R9+BA14-O20-AD21)))*BD8</f>
        <v>#DIV/0!</v>
      </c>
      <c r="AE22" s="157" t="s">
        <v>152</v>
      </c>
      <c r="AF22" s="165"/>
      <c r="AG22" s="166">
        <f t="shared" si="0"/>
        <v>0</v>
      </c>
      <c r="AH22" s="405">
        <v>0</v>
      </c>
      <c r="AI22" s="406">
        <f>(AG22-AH22)*BF13</f>
        <v>0</v>
      </c>
      <c r="AJ22" s="407" t="s">
        <v>29</v>
      </c>
      <c r="AK22" s="393"/>
      <c r="AL22" s="394"/>
      <c r="AM22" s="394"/>
      <c r="AN22" s="394"/>
      <c r="AO22" s="394"/>
      <c r="AP22" s="394"/>
      <c r="AQ22" s="394"/>
      <c r="AR22" s="395"/>
      <c r="AS22" s="140" t="s">
        <v>12</v>
      </c>
      <c r="AT22" s="363" t="str">
        <f>E6</f>
        <v>DD</v>
      </c>
      <c r="AU22" s="182">
        <f>IF(E7=0,0,((R9*BK5/(E7+BP13))*BD2)+((((R9*BK5/(E7+BP13))*BD8)+((V14*BK5/(E7+BP13))*BD7))*BF18))</f>
        <v>0</v>
      </c>
      <c r="AV22" s="168">
        <f>AU22*(1-((AX6/100*BF25)+(AX10/100*BG5)))*BF14*BG21</f>
        <v>0</v>
      </c>
      <c r="AW22" s="364">
        <f>IF(E7=0,0,(E7*BF14*BG15)+(AW10*BG5))</f>
        <v>0</v>
      </c>
      <c r="AX22" s="181">
        <f>E7-AW22</f>
        <v>0</v>
      </c>
      <c r="AY22" s="365">
        <f>IF(E7=0,0,BH21)*BF14</f>
        <v>0</v>
      </c>
      <c r="AZ22" s="229">
        <f>IF(E7=0,0,((AY22/(AU22+BF21))-1)*BF14*BG21)</f>
        <v>0</v>
      </c>
      <c r="BA22" s="279">
        <f>AU22*(AW22+AX22)*AZ22*BF14</f>
        <v>0</v>
      </c>
      <c r="BB22" s="95" t="s">
        <v>2</v>
      </c>
      <c r="BC22" s="41" t="e">
        <f>SUM(BC17:BC21)</f>
        <v>#DIV/0!</v>
      </c>
      <c r="BD22" s="70" t="str">
        <f>IF(BH4=0," ",IF(H25="P","BASE PRICE",IF(H25="M","BASE PRICE (REF)")))</f>
        <v xml:space="preserve"> </v>
      </c>
      <c r="BE22" s="34" t="b">
        <f>NOT(K24&lt;(6*K16))</f>
        <v>1</v>
      </c>
      <c r="BF22" s="37">
        <f>IF(AV3=" ",0,IF(AV3="N",0,1))</f>
        <v>0</v>
      </c>
      <c r="BG22" s="34">
        <v>0</v>
      </c>
      <c r="BH22" s="35" t="e">
        <f>((AV23*AW23)+(AU23*AX23))/F7</f>
        <v>#DIV/0!</v>
      </c>
      <c r="BI22" s="35" t="e">
        <f>((AV21*AW21)+(AU21*AX21))/D7</f>
        <v>#DIV/0!</v>
      </c>
      <c r="BJ22" s="45">
        <f>(D7*D11)*(1+D12)*(1+D13)*(1+D14)*(1+D15)*(1+D16)*(1+D17)*(1+D18)</f>
        <v>0</v>
      </c>
      <c r="BK22" s="46" t="s">
        <v>59</v>
      </c>
      <c r="BL22" s="34" t="b">
        <f>IF(BE24=0,1)</f>
        <v>0</v>
      </c>
      <c r="BM22" s="63" t="e">
        <f>IF((BM4+BM7+BM11)*BH11=3,"n/Fc.    "," ")</f>
        <v>#DIV/0!</v>
      </c>
      <c r="BN22" s="34">
        <f>IF(SUM(AW7:AW11)=0,1,0)</f>
        <v>1</v>
      </c>
      <c r="BO22" s="63" t="e">
        <f>IF((BO4+BO7+BO11+BP9)*BH11=4,"n/Fc. "," ")</f>
        <v>#DIV/0!</v>
      </c>
      <c r="BP22" s="34" t="e">
        <f>(Y13-Y14)*BK7*BK17*-1</f>
        <v>#DIV/0!</v>
      </c>
      <c r="BQ22" s="34" t="s">
        <v>59</v>
      </c>
      <c r="BR22" s="34" t="s">
        <v>59</v>
      </c>
      <c r="BS22" s="95" t="s">
        <v>3</v>
      </c>
      <c r="BT22" s="96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1:90" ht="8.25" customHeight="1" x14ac:dyDescent="0.15">
      <c r="A23" s="115" t="str">
        <f>IF(G4="US","FACTOR US/R$",IF(G4="$S","FACTOR $S/R$",IF(G4="SF","FACTOR SF/R$",IF(G4="YJ","FACTOR YJ/R$",IF(G4="EP","FACTOR EP/R$",IF(G4="$O","FACTOR $O/R$",IF(G4="YC","FACTOR YC/R$",IF(G4="EU","FACTOR EU/R$"))))))))</f>
        <v>FACTOR US/R$</v>
      </c>
      <c r="B23" s="408" t="e">
        <f>((((R9/K5*((BD2*BD7)+(BD3*BD8*BF13)+(BD4*BD8*BF13*BF14)))+(V15*((BD3*BD7*BF13)+(BD4*BD7*BF13*BF14))))*BH9)+(AV14/K5*BD10*BD6))+((IF(B11=0,0,B25/B11*BC3)+IF(C11=0,0,C25/C11*BC4)+IF(D11=0,0,D25/D11*BC5)+IF(E11=0,0,E25/E11*BC6)+IF(F11=0,0,F25/F11*BC7))*BL4)</f>
        <v>#DIV/0!</v>
      </c>
      <c r="C23" s="114" t="e">
        <f>IF(D23&lt;0,"LOSS !!!","GROSS PROFIT")</f>
        <v>#DIV/0!</v>
      </c>
      <c r="D23" s="409" t="e">
        <f>IF(BD2=1,Y23*BQ21,IF((BD3+BD4)*BD7*BQ21=1,AC23,IF((BD3+BD4)*BD8*BQ21=1,AD23,IF(BL4=1,0))))</f>
        <v>#DIV/0!</v>
      </c>
      <c r="E23" s="410" t="str">
        <f>IF(BH11=0,"COST TOT R$","RSALE TOT R$")</f>
        <v>RSALE TOT R$</v>
      </c>
      <c r="F23" s="411" t="e">
        <f>((R9+(BA14*BD4))*((BD2*BD7)+(BD3*BD8*BF13)+(BD4*BD8*BF13*BF14)))+((V14+(BA14*BD4))*((BD3*BD7*BF13)+(BD4*BD7*BF13*BF14)))</f>
        <v>#DIV/0!</v>
      </c>
      <c r="G23" s="412" t="s">
        <v>96</v>
      </c>
      <c r="H23" s="314" t="s">
        <v>97</v>
      </c>
      <c r="I23" s="102" t="s">
        <v>234</v>
      </c>
      <c r="J23" s="103" t="s">
        <v>5</v>
      </c>
      <c r="K23" s="182">
        <f>(0.5*K16*BE19)*BD9</f>
        <v>0</v>
      </c>
      <c r="L23" s="171" t="s">
        <v>25</v>
      </c>
      <c r="M23" s="79" t="s">
        <v>121</v>
      </c>
      <c r="N23" s="413" t="str">
        <f>IF(BD2=1," ",IF(BD2+BD7=1,"INCLUDED IN CST",IF(BD2+BD8=1,"EXCLUDED IN CST")))</f>
        <v xml:space="preserve"> </v>
      </c>
      <c r="O23" s="414">
        <f>IF(BD2=1,0,AI24)</f>
        <v>0</v>
      </c>
      <c r="P23" s="370" t="str">
        <f>IF(BH11=0," ","PROF/LOSS AFTER RSALE")</f>
        <v>PROF/LOSS AFTER RSALE</v>
      </c>
      <c r="Q23" s="415" t="str">
        <f>IF(BH11=0," ","US")</f>
        <v>US</v>
      </c>
      <c r="R23" s="372" t="e">
        <f>IF(BH11=0," ",Y22/R6/BL23)</f>
        <v>#DIV/0!</v>
      </c>
      <c r="S23" s="416"/>
      <c r="T23" s="374" t="str">
        <f>IF(BH11=0," ","PROF/LOSS AFTER RSALE")</f>
        <v>PROF/LOSS AFTER RSALE</v>
      </c>
      <c r="U23" s="417" t="str">
        <f>IF(BH11=0," ","US")</f>
        <v>US</v>
      </c>
      <c r="V23" s="376" t="e">
        <f>(IF(BD2*BH11=1,Y22/R6,IF((BD3+BD4)*BD7=1,AC22/V6,IF((BD3+BD4)*BD8=1,AD22/V6)))*BH11)/BL25</f>
        <v>#DIV/0!</v>
      </c>
      <c r="W23" s="102" t="s">
        <v>131</v>
      </c>
      <c r="X23" s="103" t="s">
        <v>5</v>
      </c>
      <c r="Y23" s="418" t="e">
        <f>Y22/R9</f>
        <v>#DIV/0!</v>
      </c>
      <c r="Z23" s="108"/>
      <c r="AA23" s="403" t="s">
        <v>131</v>
      </c>
      <c r="AB23" s="144" t="s">
        <v>5</v>
      </c>
      <c r="AC23" s="419" t="e">
        <f>IF(BD3+BD7=2,AC22/V14,AC22/(V14*(1+AZ14)))</f>
        <v>#DIV/0!</v>
      </c>
      <c r="AD23" s="420" t="e">
        <f>IF(BD3+BD8=2,AD22/R9,AD22/(R9*(1+AZ14)))</f>
        <v>#DIV/0!</v>
      </c>
      <c r="AE23" s="421" t="s">
        <v>153</v>
      </c>
      <c r="AF23" s="165"/>
      <c r="AG23" s="166">
        <f t="shared" si="0"/>
        <v>0</v>
      </c>
      <c r="AH23" s="422">
        <f>D20</f>
        <v>0</v>
      </c>
      <c r="AI23" s="423">
        <f>(AG23-AH23)*BF15</f>
        <v>0</v>
      </c>
      <c r="AJ23" s="424">
        <f>AI23/(AH23+BF21)</f>
        <v>0</v>
      </c>
      <c r="AK23" s="425"/>
      <c r="AL23" s="394"/>
      <c r="AM23" s="394"/>
      <c r="AN23" s="394"/>
      <c r="AO23" s="394"/>
      <c r="AP23" s="394"/>
      <c r="AQ23" s="394"/>
      <c r="AR23" s="395"/>
      <c r="AS23" s="140" t="s">
        <v>13</v>
      </c>
      <c r="AT23" s="363" t="str">
        <f>F6</f>
        <v>EE</v>
      </c>
      <c r="AU23" s="182">
        <f>IF(F7=0,0,((R9*BK6/(F7+BP13))*BD2)+((((R9*BK6/(F7+BP13))*BD8)+((V14*BK6/(F7+BP13))*BD7))*BF18))</f>
        <v>0</v>
      </c>
      <c r="AV23" s="168">
        <f>AU23*(1-((AX6/100*BF25)+(AX11/100*BG6)))*BF14*BG21</f>
        <v>0</v>
      </c>
      <c r="AW23" s="364">
        <f>IF(F7=0,0,(F7*BF14*BG16)+(AW11*BG6))</f>
        <v>0</v>
      </c>
      <c r="AX23" s="181">
        <f>F7-AW23</f>
        <v>0</v>
      </c>
      <c r="AY23" s="365">
        <f>IF(F7=0,0,BH22)*BF14</f>
        <v>0</v>
      </c>
      <c r="AZ23" s="229">
        <f>IF(F7=0,0,((AY23/(AU23+BF21))-1)*BF14*BG21)</f>
        <v>0</v>
      </c>
      <c r="BA23" s="279">
        <f>AU23*(AW23+AX23)*AZ23*BF14</f>
        <v>0</v>
      </c>
      <c r="BB23" s="95" t="s">
        <v>2</v>
      </c>
      <c r="BC23" s="42">
        <f>AND(G14&lt;=10)*0.0035*BE6</f>
        <v>0</v>
      </c>
      <c r="BD23" s="34">
        <f>IF(N11&gt;N10,1,0)</f>
        <v>0</v>
      </c>
      <c r="BE23" s="39" t="b">
        <f>IF(D19&gt;0,138.14)</f>
        <v>0</v>
      </c>
      <c r="BF23" s="34" t="b">
        <f>IF(F19&gt;0,IF(B19&lt;=100,1,0))</f>
        <v>0</v>
      </c>
      <c r="BG23" s="35" t="s">
        <v>59</v>
      </c>
      <c r="BH23" s="68" t="str">
        <f>IF(BD12+BE14+BH12+BD2+BD7+BE18+BH13=5,"OK!","")</f>
        <v>OK!</v>
      </c>
      <c r="BI23" s="35" t="e">
        <f>((AV19*AW19)+(AU19*AX19))/B7</f>
        <v>#DIV/0!</v>
      </c>
      <c r="BJ23" s="45">
        <f>(E7*E11)*(1+E12)*(1+E13)*(1+E14)*(1+E15)*(1+E16)*(1+E17)*(1+E18)</f>
        <v>0</v>
      </c>
      <c r="BK23" s="46">
        <f>IF(G17="PE",1,0)</f>
        <v>0</v>
      </c>
      <c r="BL23" s="35">
        <f>IF(Q16="Y",K5,1)</f>
        <v>1</v>
      </c>
      <c r="BM23" s="63" t="e">
        <f>IF((BM4+BM7+BM10)*BH11=3,"n/Fc.      "," ")</f>
        <v>#DIV/0!</v>
      </c>
      <c r="BN23" s="34" t="s">
        <v>59</v>
      </c>
      <c r="BO23" s="63" t="e">
        <f>IF((BO4+BO7+BO10+BP9)*BH11=4,"n/Fc.   "," ")</f>
        <v>#DIV/0!</v>
      </c>
      <c r="BP23" s="34" t="s">
        <v>59</v>
      </c>
      <c r="BQ23" s="34" t="s">
        <v>59</v>
      </c>
      <c r="BR23" s="34" t="s">
        <v>59</v>
      </c>
      <c r="BS23" s="95" t="s">
        <v>3</v>
      </c>
      <c r="BT23" s="96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1:90" ht="8.25" customHeight="1" x14ac:dyDescent="0.15">
      <c r="A24" s="115" t="str">
        <f>IF(BH11=1,"R$ / UNIT  n/IPI","no Function")</f>
        <v>R$ / UNIT  n/IPI</v>
      </c>
      <c r="B24" s="426" t="e">
        <f>B25/(B17+1)*BH11</f>
        <v>#DIV/0!</v>
      </c>
      <c r="C24" s="427" t="e">
        <f>C25/(C17+1)*BH11</f>
        <v>#DIV/0!</v>
      </c>
      <c r="D24" s="426" t="e">
        <f>D25/(D17+1)*BH11</f>
        <v>#DIV/0!</v>
      </c>
      <c r="E24" s="428" t="e">
        <f>E25/(E17+1)*BH11</f>
        <v>#DIV/0!</v>
      </c>
      <c r="F24" s="427" t="e">
        <f>F25/(F17+1)*BH11</f>
        <v>#DIV/0!</v>
      </c>
      <c r="G24" s="368" t="str">
        <f>IF(H24="F-5","??=&gt;",IF(H24="F-7","??=&gt;",IF(H24="n/Fc.","??=&gt;","OK!")))</f>
        <v>OK!</v>
      </c>
      <c r="H24" s="429" t="str">
        <f>CONCATENATE(BH23,BH24,BH25,BI2,BI3,BI4,BI5,BI6,BI7,BI8,BI9,BI10)</f>
        <v>OK!</v>
      </c>
      <c r="I24" s="102" t="s">
        <v>235</v>
      </c>
      <c r="J24" s="103" t="s">
        <v>5</v>
      </c>
      <c r="K24" s="182">
        <f>(0.005*(N10*K14)*BE11)*BD9</f>
        <v>0</v>
      </c>
      <c r="L24" s="171" t="s">
        <v>25</v>
      </c>
      <c r="M24" s="113" t="str">
        <f>IF(G4="US","IN US",IF(G4="$S","IN $S",IF(G4="SF","IN SF",IF(G4="YJ","IN YJ",IF(G4="EP","IN EP",IF(G4="$O","IN $O",IF(G4="YC","IN YC",IF(G4="EU","IN EU"))))))))</f>
        <v>IN US</v>
      </c>
      <c r="N24" s="114" t="str">
        <f>IF(N23=" "," ","=&gt;&gt;&gt;")</f>
        <v xml:space="preserve"> </v>
      </c>
      <c r="O24" s="414" t="e">
        <f>O23/V5</f>
        <v>#DIV/0!</v>
      </c>
      <c r="P24" s="387" t="s">
        <v>122</v>
      </c>
      <c r="Q24" s="339" t="s">
        <v>25</v>
      </c>
      <c r="R24" s="340" t="e">
        <f>(N20+Y21)/BL23</f>
        <v>#DIV/0!</v>
      </c>
      <c r="S24" s="341"/>
      <c r="T24" s="389" t="s">
        <v>122</v>
      </c>
      <c r="U24" s="343" t="s">
        <v>25</v>
      </c>
      <c r="V24" s="344" t="e">
        <f>(IF(BH11=0,((N20+Y21)*BD2)+((O20+AC21)*BD3),((N20+Y21)*BD2)+((O20+AC21)*((BD3+BD4)*BD7))+((O20+AD21)*((BD3+BD4)*BD8))))/BL25</f>
        <v>#DIV/0!</v>
      </c>
      <c r="W24" s="430" t="str">
        <f>IF(Y24=" "," ","SITUATION AT")</f>
        <v>SITUATION AT</v>
      </c>
      <c r="X24" s="431" t="str">
        <f>IF(W24=" "," ","=&gt;")</f>
        <v>=&gt;</v>
      </c>
      <c r="Y24" s="432" t="str">
        <f>IF(G16="D"," ",IF(G17=" ","H25 ???",IF(G17="PR","   PROFIT REAL",IF(G17="PE"," PROFIT ESTIMATE"))))</f>
        <v xml:space="preserve">   PROFIT REAL</v>
      </c>
      <c r="Z24" s="433"/>
      <c r="AA24" s="434" t="s">
        <v>252</v>
      </c>
      <c r="AB24" s="144" t="s">
        <v>5</v>
      </c>
      <c r="AC24" s="307" t="e">
        <f>(V14-R9)*(BD3+BD4)*BH11</f>
        <v>#DIV/0!</v>
      </c>
      <c r="AD24" s="224" t="e">
        <f>R9-R9</f>
        <v>#DIV/0!</v>
      </c>
      <c r="AE24" s="435" t="s">
        <v>9</v>
      </c>
      <c r="AF24" s="144" t="s">
        <v>29</v>
      </c>
      <c r="AG24" s="246" t="e">
        <f>SUM(AG5:AG22)*BF13</f>
        <v>#DIV/0!</v>
      </c>
      <c r="AH24" s="233" t="e">
        <f>SUM(AH5:AH22)</f>
        <v>#DIV/0!</v>
      </c>
      <c r="AI24" s="246" t="e">
        <f>(AG24-AH24)*(BF13*BG25)</f>
        <v>#DIV/0!</v>
      </c>
      <c r="AJ24" s="436" t="e">
        <f>AI24/AH24</f>
        <v>#DIV/0!</v>
      </c>
      <c r="AK24" s="393"/>
      <c r="AL24" s="394"/>
      <c r="AM24" s="394"/>
      <c r="AN24" s="394"/>
      <c r="AO24" s="394"/>
      <c r="AP24" s="437"/>
      <c r="AQ24" s="437"/>
      <c r="AR24" s="438"/>
      <c r="AS24" s="81"/>
      <c r="AT24" s="81"/>
      <c r="AU24" s="92"/>
      <c r="AV24" s="90"/>
      <c r="AW24" s="93"/>
      <c r="AX24" s="93"/>
      <c r="AY24" s="92"/>
      <c r="AZ24" s="81"/>
      <c r="BA24" s="92"/>
      <c r="BB24" s="95" t="s">
        <v>2</v>
      </c>
      <c r="BC24" s="34" t="b">
        <f>IF(F19&gt;0,IF(G14&gt;20,0,1))</f>
        <v>0</v>
      </c>
      <c r="BD24" s="34" t="b">
        <f>IF(D19&gt;0,IF(G14&gt;30,0,1))</f>
        <v>0</v>
      </c>
      <c r="BE24" s="34">
        <f>IF(H10="Y",1,0)</f>
        <v>1</v>
      </c>
      <c r="BF24" s="34" t="b">
        <f>IF(F19&gt;0,IF(B19&gt;100,1,0))</f>
        <v>0</v>
      </c>
      <c r="BG24" s="34">
        <f>IF(BD12+BE14+BH12+BD4+BD8+BF13+BF22+BG7=6,1,0)</f>
        <v>0</v>
      </c>
      <c r="BH24" s="63" t="str">
        <f>IF(BD12+BE14+BH12+BD2+BD3+BD7+BD8+BF13+BH13-BH19-BI11=5,"OK!","")</f>
        <v/>
      </c>
      <c r="BI24" s="34" t="s">
        <v>59</v>
      </c>
      <c r="BJ24" s="45">
        <f>(F7*F11)*(1+F12)*(1+F13)*(1+F14)*(1+F15)*(1+F16)*(1+F17)*(1+F18)</f>
        <v>0</v>
      </c>
      <c r="BK24" s="46" t="s">
        <v>59</v>
      </c>
      <c r="BL24" s="34" t="s">
        <v>59</v>
      </c>
      <c r="BM24" s="64" t="e">
        <f>IF((BM2+BM7+BM10)*BH11=3,"YorN?         "," ")</f>
        <v>#DIV/0!</v>
      </c>
      <c r="BN24" s="34" t="s">
        <v>59</v>
      </c>
      <c r="BO24" s="63" t="e">
        <f>IF((BO2+BO7+BO10+BP9)*BH11=4,"YorN?     "," ")</f>
        <v>#DIV/0!</v>
      </c>
      <c r="BP24" s="34" t="s">
        <v>59</v>
      </c>
      <c r="BQ24" s="34" t="s">
        <v>59</v>
      </c>
      <c r="BR24" s="34" t="s">
        <v>59</v>
      </c>
      <c r="BS24" s="95" t="s">
        <v>3</v>
      </c>
      <c r="BT24" s="96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1:90" ht="8.25" customHeight="1" x14ac:dyDescent="0.15">
      <c r="A25" s="115" t="str">
        <f>IF(BH11=1,"R$ / UNIT w/IPI","R$ / UNIT")</f>
        <v>R$ / UNIT w/IPI</v>
      </c>
      <c r="B25" s="439" t="e">
        <f>((R9*BK2/B7*((BD2*BD7)+(BD3*BD8*BF13)+(BD4*BD8*BF13*BF14*BG21)))+(V14*BK2/(IF(B7=" ",1,B7))*((BD3*BD7*BF13)+(BD4*BD7*BF13*BF14*BG21)))+(BA19/(B7+BF21)*BH2*BD10))</f>
        <v>#DIV/0!</v>
      </c>
      <c r="C25" s="440" t="e">
        <f>((R9*BK3/(IF(C7=" ",1,C7))*((BD2*BD7)+(BD3*BD8*BF13)+(BD4*BD8*BF13*BF14*BG21)))+(V14*BK3/(IF(C7=" ",1,C7))*((BD3*BD7*BF13)+(BD4*BD7*BF13*BF14*BG21)))+(BA20/(C7+BF21)*BH2*BD10)+(BD6*BF21))</f>
        <v>#DIV/0!</v>
      </c>
      <c r="D25" s="439" t="e">
        <f>((R9*BK4/(IF(D7=" ",1,D7))*((BD2*BD7)+(BD3*BD8*BF13)+(BD4*BD8*BF13*BF14*BG21)))+(V14*BK4/(IF(D7=" ",1,D7))*((BD3*BD7*BF13)+(BD4*BD7*BF13*BF14*BG21)))+(BA21/(D7+BF21)*BH2*BD10)+(BD6*BF21))</f>
        <v>#DIV/0!</v>
      </c>
      <c r="E25" s="440" t="e">
        <f>((R9*BK5/(IF(E7=" ",1,E7))*((BD2*BD7)+(BD3*BD8*BF13)+(BD4*BD8*BF13*BF14*BG21)))+(V14*BK5/(IF(E7=" ",1,E7))*((BD3*BD7*BF13)+(BD4*BD7*BF13*BF14*BG21)))+(BA22/(E7+BF21)*BH2*BD10)+(BD6*BF21))</f>
        <v>#DIV/0!</v>
      </c>
      <c r="F25" s="441" t="e">
        <f>((R9*BK6/(IF(F7=" ",1,F7))*((BD2*BD7)+(BD3*BD8*BF13)+(BD4*BD8*BF13*BF14*BG21)))+(V14*BK6/(IF(F7=" ",1,F7))*((BD3*BD7*BF13)+(BD4*BD7*BF13*BF14*BG21)))+(BA23/(F7+BF21)*BH2*BD10)+(BD6*BF21))</f>
        <v>#DIV/0!</v>
      </c>
      <c r="G25" s="383">
        <v>1</v>
      </c>
      <c r="H25" s="442" t="s">
        <v>61</v>
      </c>
      <c r="I25" s="220"/>
      <c r="J25" s="220"/>
      <c r="K25" s="220"/>
      <c r="L25" s="220"/>
      <c r="M25" s="113" t="s">
        <v>60</v>
      </c>
      <c r="N25" s="114" t="str">
        <f>IF(BD7*BH11=1,"          PRICE ",IF(BD8*BH11=1,"         MARGIN ",IF(BL4=1,"  DIRECT IMPORT")))</f>
        <v xml:space="preserve">          PRICE </v>
      </c>
      <c r="O25" s="123"/>
      <c r="P25" s="355" t="str">
        <f>IF(BH11=0,"TOTAL COST","RESALE VALUE")</f>
        <v>RESALE VALUE</v>
      </c>
      <c r="Q25" s="184" t="s">
        <v>25</v>
      </c>
      <c r="R25" s="356" t="e">
        <f>IF(BH11=0,R24,N20/(1-R7)/BL23)</f>
        <v>#DIV/0!</v>
      </c>
      <c r="S25" s="443"/>
      <c r="T25" s="358" t="str">
        <f>IF(BH11=0,"TOTAL COST","RESALE VALUE")</f>
        <v>RESALE VALUE</v>
      </c>
      <c r="U25" s="359" t="s">
        <v>25</v>
      </c>
      <c r="V25" s="360" t="e">
        <f>(IF(BD2*BH11=1,(N20+Y21+Y22),IF((BD3+BD4)*BD7*BH11=1,(O20+AC21+AC22),IF((BD3+BD4)*BD8*BH11=1,(O20+AD21+AD22),((N20+Y21)*BD2)+((O20+AC21)*BD3)))))/BL25</f>
        <v>#DIV/0!</v>
      </c>
      <c r="W25" s="416" t="s">
        <v>132</v>
      </c>
      <c r="X25" s="112" t="s">
        <v>34</v>
      </c>
      <c r="Y25" s="147" t="str">
        <f>IF(G16="C","CUSTOMER",IF(G16="R","RESELLER",IF(G16="D","DIRECT IMPORT")))</f>
        <v>RESELLER</v>
      </c>
      <c r="Z25" s="81"/>
      <c r="AA25" s="434" t="s">
        <v>253</v>
      </c>
      <c r="AB25" s="114" t="s">
        <v>5</v>
      </c>
      <c r="AC25" s="307" t="e">
        <f>((V14*(1+AZ14))-V14)*(BD3+BD4)*BD8*BH11</f>
        <v>#DIV/0!</v>
      </c>
      <c r="AD25" s="224" t="e">
        <f>((R9*(1+AZ14))-R9)*BD4*BD8*BH11</f>
        <v>#DIV/0!</v>
      </c>
      <c r="AE25" s="444" t="s">
        <v>154</v>
      </c>
      <c r="AF25" s="144" t="s">
        <v>29</v>
      </c>
      <c r="AG25" s="246">
        <f>(AG5+AG6)*BF13</f>
        <v>0</v>
      </c>
      <c r="AH25" s="233">
        <f>AH5+AH6</f>
        <v>0</v>
      </c>
      <c r="AI25" s="141" t="s">
        <v>155</v>
      </c>
      <c r="AJ25" s="445" t="e">
        <f>AH25/R9</f>
        <v>#DIV/0!</v>
      </c>
      <c r="AK25" s="446"/>
      <c r="AL25" s="447"/>
      <c r="AM25" s="447"/>
      <c r="AN25" s="447"/>
      <c r="AO25" s="447"/>
      <c r="AP25" s="437"/>
      <c r="AQ25" s="437"/>
      <c r="AR25" s="448"/>
      <c r="AS25" s="86" t="s">
        <v>171</v>
      </c>
      <c r="AT25" s="86"/>
      <c r="AU25" s="449" t="str">
        <f>AM3</f>
        <v>PHASE 1</v>
      </c>
      <c r="AV25" s="334" t="str">
        <f>IF(AU25="???","                                   SEA ABOVE REMARCS OR IN F-1", AN3)</f>
        <v>PRICE</v>
      </c>
      <c r="AW25" s="93"/>
      <c r="AX25" s="93"/>
      <c r="AY25" s="92"/>
      <c r="AZ25" s="81"/>
      <c r="BA25" s="92"/>
      <c r="BB25" s="95" t="s">
        <v>2</v>
      </c>
      <c r="BC25" s="34">
        <f>IF(D19+F19=0,1)</f>
        <v>1</v>
      </c>
      <c r="BD25" s="34">
        <f>AND(G14&gt;10,G14&lt;=20)*0.007*BE6</f>
        <v>0</v>
      </c>
      <c r="BE25" s="34" t="s">
        <v>59</v>
      </c>
      <c r="BF25" s="34" t="b">
        <f>AX6&gt;0</f>
        <v>0</v>
      </c>
      <c r="BG25" s="34" t="e">
        <f>SUM(AG5:AG22)&gt;0</f>
        <v>#DIV/0!</v>
      </c>
      <c r="BH25" s="67" t="str">
        <f>IF(BD12+BE14+BH12+BD2+BD3+BD4+BD7+BD8+BF13+BF22-BI13-BI14-BI15-BG24=5,"OK!","")</f>
        <v/>
      </c>
      <c r="BI25" s="34" t="s">
        <v>59</v>
      </c>
      <c r="BJ25" s="45">
        <f>SUM(BJ20:BJ24)</f>
        <v>0</v>
      </c>
      <c r="BK25" s="46" t="s">
        <v>59</v>
      </c>
      <c r="BL25" s="35">
        <f>IF(U16="Y",K5,1)</f>
        <v>1</v>
      </c>
      <c r="BM25" s="65" t="e">
        <f>IF((BM3+BM7+BM11)*BH11=3,"???           "," ")</f>
        <v>#DIV/0!</v>
      </c>
      <c r="BN25" s="34">
        <f>IF(SUM(AX7:AX11)=0,1,0)</f>
        <v>1</v>
      </c>
      <c r="BO25" s="67" t="e">
        <f>IF((BO3+BO7+BO11+BP9)*BH11=4,"???        "," ")</f>
        <v>#DIV/0!</v>
      </c>
      <c r="BP25" s="34" t="s">
        <v>59</v>
      </c>
      <c r="BQ25" s="34" t="s">
        <v>59</v>
      </c>
      <c r="BR25" s="34" t="s">
        <v>59</v>
      </c>
      <c r="BS25" s="95" t="s">
        <v>3</v>
      </c>
      <c r="BT25" s="96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1:90" ht="8.25" customHeight="1" x14ac:dyDescent="0.15">
      <c r="A26" s="81"/>
      <c r="B26" s="450" t="s">
        <v>85</v>
      </c>
      <c r="C26" s="451">
        <f>IF(G17=" ","H25 !!!",(IF(G17="RP",C27,B27)))</f>
        <v>6.4999999999999997E-3</v>
      </c>
      <c r="D26" s="81"/>
      <c r="E26" s="450" t="s">
        <v>86</v>
      </c>
      <c r="F26" s="452">
        <f>IF(G17=" ","H25 !!!",(IF(G17="RP",F27,E27)))</f>
        <v>0.03</v>
      </c>
      <c r="G26" s="100" t="s">
        <v>95</v>
      </c>
      <c r="H26" s="100" t="s">
        <v>94</v>
      </c>
      <c r="I26" s="453"/>
      <c r="J26" s="453"/>
      <c r="K26" s="453"/>
      <c r="L26" s="453"/>
      <c r="M26" s="453"/>
      <c r="N26" s="453"/>
      <c r="O26" s="453"/>
      <c r="P26" s="370" t="str">
        <f>IF(BH11=0," ","PROF/LOSS AFTER RSALE")</f>
        <v>PROF/LOSS AFTER RSALE</v>
      </c>
      <c r="Q26" s="371" t="str">
        <f>IF(BH11=0," ","R$")</f>
        <v>R$</v>
      </c>
      <c r="R26" s="372" t="e">
        <f>IF(BH11=0," ",Y22/BL23)</f>
        <v>#DIV/0!</v>
      </c>
      <c r="S26" s="416"/>
      <c r="T26" s="374" t="str">
        <f>IF(BH11=0," ","PROF/LOSS AFTER RSALE")</f>
        <v>PROF/LOSS AFTER RSALE</v>
      </c>
      <c r="U26" s="417" t="str">
        <f>IF(BH11=0," ","R$")</f>
        <v>R$</v>
      </c>
      <c r="V26" s="376" t="e">
        <f>(IF(BD2*BH11=1,Y22,IF((BD3+BD4)*BD7*BH11=1,AC22,IF((BD3+BD4)*BD8*BH11=1,AD22))))/BL25</f>
        <v>#DIV/0!</v>
      </c>
      <c r="W26" s="146" t="s">
        <v>133</v>
      </c>
      <c r="X26" s="170" t="s">
        <v>5</v>
      </c>
      <c r="Y26" s="377" t="e">
        <f>SUM(BP18:BP22)*BH11</f>
        <v>#DIV/0!</v>
      </c>
      <c r="Z26" s="81"/>
      <c r="AA26" s="220" t="s">
        <v>133</v>
      </c>
      <c r="AB26" s="144" t="s">
        <v>5</v>
      </c>
      <c r="AC26" s="307" t="e">
        <f>((SUM(BQ2:BQ6)*BD3*BD7)+(SUM(BR2:BR6)*BD4*BD7))*BH11</f>
        <v>#DIV/0!</v>
      </c>
      <c r="AD26" s="224" t="e">
        <f>((SUM(BQ16:BQ20)*BD3*BD8)+(SUM(BR7:BR11)*BD4*BD8))*BH11</f>
        <v>#DIV/0!</v>
      </c>
      <c r="AE26" s="444" t="s">
        <v>226</v>
      </c>
      <c r="AF26" s="144" t="s">
        <v>29</v>
      </c>
      <c r="AG26" s="246" t="e">
        <f>SUM(AG7:AG22)*BF13</f>
        <v>#DIV/0!</v>
      </c>
      <c r="AH26" s="233" t="e">
        <f>SUM(AH7:AH22)</f>
        <v>#DIV/0!</v>
      </c>
      <c r="AI26" s="141" t="s">
        <v>155</v>
      </c>
      <c r="AJ26" s="454" t="e">
        <f>AH26/R9</f>
        <v>#DIV/0!</v>
      </c>
      <c r="AK26" s="455"/>
      <c r="AL26" s="456"/>
      <c r="AM26" s="456"/>
      <c r="AN26" s="456"/>
      <c r="AO26" s="456"/>
      <c r="AP26" s="457"/>
      <c r="AQ26" s="457"/>
      <c r="AR26" s="458"/>
      <c r="AS26" s="81"/>
      <c r="AT26" s="81"/>
      <c r="AU26" s="81"/>
      <c r="AV26" s="81"/>
      <c r="AW26" s="81"/>
      <c r="AX26" s="81"/>
      <c r="AY26" s="81"/>
      <c r="AZ26" s="81"/>
      <c r="BA26" s="443"/>
      <c r="BB26" s="459" t="s">
        <v>33</v>
      </c>
      <c r="BC26" s="459" t="s">
        <v>33</v>
      </c>
      <c r="BD26" s="459" t="s">
        <v>33</v>
      </c>
      <c r="BE26" s="459" t="s">
        <v>33</v>
      </c>
      <c r="BF26" s="459" t="s">
        <v>33</v>
      </c>
      <c r="BG26" s="459" t="s">
        <v>33</v>
      </c>
      <c r="BH26" s="459" t="s">
        <v>33</v>
      </c>
      <c r="BI26" s="459" t="s">
        <v>33</v>
      </c>
      <c r="BJ26" s="459" t="s">
        <v>33</v>
      </c>
      <c r="BK26" s="459" t="s">
        <v>33</v>
      </c>
      <c r="BL26" s="459" t="s">
        <v>33</v>
      </c>
      <c r="BM26" s="459" t="s">
        <v>33</v>
      </c>
      <c r="BN26" s="459" t="s">
        <v>33</v>
      </c>
      <c r="BO26" s="459" t="s">
        <v>33</v>
      </c>
      <c r="BP26" s="459" t="s">
        <v>33</v>
      </c>
      <c r="BQ26" s="459" t="s">
        <v>33</v>
      </c>
      <c r="BR26" s="459" t="s">
        <v>33</v>
      </c>
      <c r="BS26" s="459" t="s">
        <v>33</v>
      </c>
      <c r="BT26" s="96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1:90" ht="8.25" customHeight="1" x14ac:dyDescent="0.15">
      <c r="A27" s="312" t="s">
        <v>93</v>
      </c>
      <c r="B27" s="460">
        <v>6.4999999999999997E-3</v>
      </c>
      <c r="C27" s="460">
        <v>1.6500000000000001E-2</v>
      </c>
      <c r="D27" s="459" t="s">
        <v>31</v>
      </c>
      <c r="E27" s="460">
        <v>0.03</v>
      </c>
      <c r="F27" s="461">
        <v>7.5999999999999998E-2</v>
      </c>
      <c r="G27" s="462">
        <v>0</v>
      </c>
      <c r="H27" s="462">
        <v>0</v>
      </c>
      <c r="I27" s="459" t="s">
        <v>32</v>
      </c>
      <c r="J27" s="87"/>
      <c r="K27" s="253"/>
      <c r="L27" s="104"/>
      <c r="M27" s="459" t="s">
        <v>32</v>
      </c>
      <c r="N27" s="253"/>
      <c r="O27" s="459" t="s">
        <v>32</v>
      </c>
      <c r="P27" s="459" t="s">
        <v>32</v>
      </c>
      <c r="Q27" s="463"/>
      <c r="R27" s="459" t="s">
        <v>32</v>
      </c>
      <c r="S27" s="433"/>
      <c r="T27" s="459" t="s">
        <v>32</v>
      </c>
      <c r="U27" s="81"/>
      <c r="V27" s="459" t="s">
        <v>32</v>
      </c>
      <c r="W27" s="459" t="s">
        <v>32</v>
      </c>
      <c r="X27" s="463"/>
      <c r="Y27" s="459" t="s">
        <v>32</v>
      </c>
      <c r="Z27" s="433"/>
      <c r="AA27" s="459" t="s">
        <v>32</v>
      </c>
      <c r="AB27" s="81"/>
      <c r="AC27" s="459" t="s">
        <v>32</v>
      </c>
      <c r="AD27" s="459" t="s">
        <v>32</v>
      </c>
      <c r="AE27" s="464" t="s">
        <v>32</v>
      </c>
      <c r="AF27" s="81"/>
      <c r="AG27" s="465"/>
      <c r="AH27" s="459" t="s">
        <v>32</v>
      </c>
      <c r="AI27" s="81"/>
      <c r="AJ27" s="459" t="s">
        <v>32</v>
      </c>
      <c r="AK27" s="459" t="s">
        <v>32</v>
      </c>
      <c r="AL27" s="253"/>
      <c r="AM27" s="253"/>
      <c r="AN27" s="253"/>
      <c r="AO27" s="459" t="s">
        <v>32</v>
      </c>
      <c r="AP27" s="81"/>
      <c r="AQ27" s="81"/>
      <c r="AR27" s="459" t="s">
        <v>32</v>
      </c>
      <c r="AS27" s="81"/>
      <c r="AT27" s="459" t="s">
        <v>32</v>
      </c>
      <c r="AU27" s="253"/>
      <c r="AV27" s="253"/>
      <c r="AW27" s="459" t="s">
        <v>32</v>
      </c>
      <c r="AX27" s="253"/>
      <c r="AY27" s="81"/>
      <c r="AZ27" s="253"/>
      <c r="BA27" s="464" t="s">
        <v>32</v>
      </c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59"/>
      <c r="BQ27" s="459"/>
      <c r="BR27" s="459"/>
      <c r="BS27" s="459"/>
      <c r="BT27" s="466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1:90" ht="8.25" customHeight="1" x14ac:dyDescent="0.15">
      <c r="A28" s="467" t="s">
        <v>261</v>
      </c>
      <c r="B28" s="93"/>
      <c r="C28" s="93"/>
      <c r="D28" s="93"/>
      <c r="E28" s="93"/>
      <c r="F28" s="93"/>
      <c r="G28" s="93"/>
      <c r="H28" s="468"/>
      <c r="I28" s="469" t="str">
        <f>A28</f>
        <v>Copyright by Impulse Assessoria de Negócios Ltda. - V. 4.3.1 - 05/2014 - Freeware - hhc@impulserio.com.br - www.impulserio.com.br</v>
      </c>
      <c r="J28" s="93"/>
      <c r="K28" s="93"/>
      <c r="L28" s="93"/>
      <c r="M28" s="93"/>
      <c r="N28" s="93"/>
      <c r="O28" s="253"/>
      <c r="P28" s="469" t="str">
        <f>A28</f>
        <v>Copyright by Impulse Assessoria de Negócios Ltda. - V. 4.3.1 - 05/2014 - Freeware - hhc@impulserio.com.br - www.impulserio.com.br</v>
      </c>
      <c r="Q28" s="463"/>
      <c r="R28" s="459"/>
      <c r="S28" s="433"/>
      <c r="T28" s="459"/>
      <c r="U28" s="81"/>
      <c r="V28" s="459"/>
      <c r="W28" s="470" t="str">
        <f>A28</f>
        <v>Copyright by Impulse Assessoria de Negócios Ltda. - V. 4.3.1 - 05/2014 - Freeware - hhc@impulserio.com.br - www.impulserio.com.br</v>
      </c>
      <c r="X28" s="470"/>
      <c r="Y28" s="470"/>
      <c r="Z28" s="470"/>
      <c r="AA28" s="470"/>
      <c r="AB28" s="470"/>
      <c r="AC28" s="470"/>
      <c r="AD28" s="470"/>
      <c r="AE28" s="471" t="str">
        <f>A28</f>
        <v>Copyright by Impulse Assessoria de Negócios Ltda. - V. 4.3.1 - 05/2014 - Freeware - hhc@impulserio.com.br - www.impulserio.com.br</v>
      </c>
      <c r="AF28" s="93"/>
      <c r="AG28" s="93"/>
      <c r="AH28" s="93"/>
      <c r="AI28" s="93"/>
      <c r="AJ28" s="93"/>
      <c r="AK28" s="469" t="str">
        <f>A28</f>
        <v>Copyright by Impulse Assessoria de Negócios Ltda. - V. 4.3.1 - 05/2014 - Freeware - hhc@impulserio.com.br - www.impulserio.com.br</v>
      </c>
      <c r="AL28" s="93"/>
      <c r="AM28" s="93"/>
      <c r="AN28" s="93"/>
      <c r="AO28" s="93"/>
      <c r="AP28" s="93"/>
      <c r="AQ28" s="93"/>
      <c r="AR28" s="93"/>
      <c r="AS28" s="472" t="str">
        <f>A28</f>
        <v>Copyright by Impulse Assessoria de Negócios Ltda. - V. 4.3.1 - 05/2014 - Freeware - hhc@impulserio.com.br - www.impulserio.com.br</v>
      </c>
      <c r="AT28" s="93"/>
      <c r="AU28" s="93"/>
      <c r="AV28" s="93"/>
      <c r="AW28" s="93"/>
      <c r="AX28" s="93"/>
      <c r="AY28" s="93"/>
      <c r="AZ28" s="253"/>
      <c r="BA28" s="31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47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1:90" ht="8.25" customHeight="1" x14ac:dyDescent="0.15">
      <c r="A29" s="474"/>
      <c r="B29" s="474"/>
      <c r="C29" s="474"/>
      <c r="D29" s="474"/>
      <c r="E29" s="474"/>
      <c r="F29" s="474"/>
      <c r="G29" s="81"/>
      <c r="H29" s="468"/>
      <c r="I29" s="475"/>
      <c r="J29" s="475"/>
      <c r="K29" s="475"/>
      <c r="L29" s="475"/>
      <c r="M29" s="475"/>
      <c r="N29" s="475"/>
      <c r="O29" s="476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7"/>
      <c r="AF29" s="478"/>
      <c r="AG29" s="479"/>
      <c r="AH29" s="480"/>
      <c r="AI29" s="481"/>
      <c r="AJ29" s="482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483"/>
      <c r="BF29" s="483"/>
      <c r="BG29" s="483"/>
      <c r="BH29" s="483"/>
      <c r="BI29" s="483"/>
      <c r="BJ29" s="483"/>
      <c r="BK29" s="483"/>
      <c r="BL29" s="483"/>
      <c r="BM29" s="483"/>
      <c r="BN29" s="483"/>
      <c r="BO29" s="483"/>
      <c r="BP29" s="483"/>
      <c r="BQ29" s="483"/>
      <c r="BR29" s="483"/>
      <c r="BS29" s="483"/>
      <c r="BT29" s="48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1:90" ht="8.25" customHeight="1" x14ac:dyDescent="0.15">
      <c r="A30" s="231" t="s">
        <v>172</v>
      </c>
      <c r="B30" s="71"/>
      <c r="C30" s="484"/>
      <c r="D30" s="71"/>
      <c r="E30" s="484"/>
      <c r="F30" s="81"/>
      <c r="G30" s="81"/>
      <c r="H30" s="468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85"/>
      <c r="AF30" s="478"/>
      <c r="AG30" s="479"/>
      <c r="AH30" s="480"/>
      <c r="AI30" s="481"/>
      <c r="AJ30" s="482"/>
      <c r="AK30" s="483"/>
      <c r="AL30" s="483"/>
      <c r="AM30" s="483"/>
      <c r="AN30" s="483"/>
      <c r="AO30" s="483"/>
      <c r="AP30" s="483"/>
      <c r="AQ30" s="483"/>
      <c r="AR30" s="483"/>
      <c r="AS30" s="483"/>
      <c r="AT30" s="483"/>
      <c r="AU30" s="483"/>
      <c r="AV30" s="483"/>
      <c r="AW30" s="483"/>
      <c r="AX30" s="483"/>
      <c r="AY30" s="483"/>
      <c r="AZ30" s="483"/>
      <c r="BA30" s="483"/>
      <c r="BB30" s="483"/>
      <c r="BC30" s="483"/>
      <c r="BD30" s="483"/>
      <c r="BE30" s="483"/>
      <c r="BF30" s="483"/>
      <c r="BG30" s="483"/>
      <c r="BH30" s="483"/>
      <c r="BI30" s="483"/>
      <c r="BJ30" s="483"/>
      <c r="BK30" s="483"/>
      <c r="BL30" s="483"/>
      <c r="BM30" s="483"/>
      <c r="BN30" s="483"/>
      <c r="BO30" s="483"/>
      <c r="BP30" s="483"/>
      <c r="BQ30" s="483"/>
      <c r="BR30" s="483"/>
      <c r="BS30" s="483"/>
      <c r="BT30" s="48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1:90" ht="8.25" customHeight="1" x14ac:dyDescent="0.15">
      <c r="A31" s="231" t="s">
        <v>173</v>
      </c>
      <c r="B31" s="71"/>
      <c r="C31" s="484"/>
      <c r="D31" s="71"/>
      <c r="E31" s="484"/>
      <c r="F31" s="71"/>
      <c r="G31" s="253"/>
      <c r="H31" s="468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85"/>
      <c r="AF31" s="478"/>
      <c r="AG31" s="479"/>
      <c r="AH31" s="480"/>
      <c r="AI31" s="481"/>
      <c r="AJ31" s="482"/>
      <c r="AK31" s="483"/>
      <c r="AL31" s="483"/>
      <c r="AM31" s="483"/>
      <c r="AN31" s="483"/>
      <c r="AO31" s="483"/>
      <c r="AP31" s="483"/>
      <c r="AQ31" s="483"/>
      <c r="AR31" s="483"/>
      <c r="AS31" s="483"/>
      <c r="AT31" s="483"/>
      <c r="AU31" s="483"/>
      <c r="AV31" s="483"/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  <c r="BO31" s="483"/>
      <c r="BP31" s="483"/>
      <c r="BQ31" s="483"/>
      <c r="BR31" s="483"/>
      <c r="BS31" s="483"/>
      <c r="BT31" s="48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1:90" ht="8.25" customHeight="1" x14ac:dyDescent="0.15">
      <c r="A32" s="231" t="s">
        <v>174</v>
      </c>
      <c r="B32" s="71"/>
      <c r="C32" s="484"/>
      <c r="D32" s="71"/>
      <c r="E32" s="484"/>
      <c r="F32" s="71"/>
      <c r="G32" s="253"/>
      <c r="H32" s="468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7"/>
      <c r="AF32" s="478"/>
      <c r="AG32" s="479"/>
      <c r="AH32" s="480"/>
      <c r="AI32" s="481"/>
      <c r="AJ32" s="482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  <c r="BO32" s="483"/>
      <c r="BP32" s="483"/>
      <c r="BQ32" s="483"/>
      <c r="BR32" s="483"/>
      <c r="BS32" s="483"/>
      <c r="BT32" s="48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 ht="8.25" customHeight="1" x14ac:dyDescent="0.15">
      <c r="A33" s="71" t="s">
        <v>175</v>
      </c>
      <c r="B33" s="71"/>
      <c r="C33" s="484"/>
      <c r="D33" s="71"/>
      <c r="E33" s="484"/>
      <c r="F33" s="71"/>
      <c r="G33" s="253"/>
      <c r="H33" s="468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  <c r="AB33" s="475"/>
      <c r="AC33" s="475"/>
      <c r="AD33" s="475"/>
      <c r="AE33" s="486"/>
      <c r="AF33" s="482"/>
      <c r="AG33" s="487"/>
      <c r="AH33" s="487"/>
      <c r="AI33" s="482"/>
      <c r="AJ33" s="482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1:90" ht="8.25" customHeight="1" x14ac:dyDescent="0.15">
      <c r="A34" s="488" t="s">
        <v>254</v>
      </c>
      <c r="B34" s="71"/>
      <c r="C34" s="484"/>
      <c r="D34" s="71"/>
      <c r="E34" s="484"/>
      <c r="F34" s="71"/>
      <c r="G34" s="489"/>
      <c r="H34" s="468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  <c r="AB34" s="475"/>
      <c r="AC34" s="475"/>
      <c r="AD34" s="475"/>
      <c r="AE34" s="486"/>
      <c r="AF34" s="482"/>
      <c r="AG34" s="487"/>
      <c r="AH34" s="487"/>
      <c r="AI34" s="482"/>
      <c r="AJ34" s="482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1:90" ht="8.25" customHeight="1" x14ac:dyDescent="0.15">
      <c r="A35" s="231" t="s">
        <v>176</v>
      </c>
      <c r="B35" s="71"/>
      <c r="C35" s="484"/>
      <c r="D35" s="71"/>
      <c r="E35" s="484"/>
      <c r="F35" s="71"/>
      <c r="G35" s="253"/>
      <c r="H35" s="468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86"/>
      <c r="AF35" s="482"/>
      <c r="AG35" s="487"/>
      <c r="AH35" s="487"/>
      <c r="AI35" s="482"/>
      <c r="AJ35" s="482"/>
      <c r="AK35" s="483"/>
      <c r="AL35" s="483"/>
      <c r="AM35" s="483"/>
      <c r="AN35" s="483"/>
      <c r="AO35" s="483"/>
      <c r="AP35" s="483"/>
      <c r="AQ35" s="483"/>
      <c r="AR35" s="483"/>
      <c r="AS35" s="483"/>
      <c r="AT35" s="483"/>
      <c r="AU35" s="483"/>
      <c r="AV35" s="483"/>
      <c r="AW35" s="483"/>
      <c r="AX35" s="483"/>
      <c r="AY35" s="483"/>
      <c r="AZ35" s="483"/>
      <c r="BA35" s="483"/>
      <c r="BB35" s="483"/>
      <c r="BC35" s="483"/>
      <c r="BD35" s="483"/>
      <c r="BE35" s="483"/>
      <c r="BF35" s="483"/>
      <c r="BG35" s="483"/>
      <c r="BH35" s="483"/>
      <c r="BI35" s="483"/>
      <c r="BJ35" s="483"/>
      <c r="BK35" s="483"/>
      <c r="BL35" s="483"/>
      <c r="BM35" s="483"/>
      <c r="BN35" s="483"/>
      <c r="BO35" s="483"/>
      <c r="BP35" s="483"/>
      <c r="BQ35" s="483"/>
      <c r="BR35" s="483"/>
      <c r="BS35" s="483"/>
      <c r="BT35" s="48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1:90" ht="8.25" customHeight="1" x14ac:dyDescent="0.15">
      <c r="A36" s="231" t="s">
        <v>177</v>
      </c>
      <c r="B36" s="253"/>
      <c r="C36" s="104"/>
      <c r="D36" s="253"/>
      <c r="E36" s="104"/>
      <c r="F36" s="253"/>
      <c r="G36" s="253"/>
      <c r="H36" s="468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86"/>
      <c r="AF36" s="482"/>
      <c r="AG36" s="487"/>
      <c r="AH36" s="487"/>
      <c r="AI36" s="482"/>
      <c r="AJ36" s="482"/>
      <c r="AK36" s="483"/>
      <c r="AL36" s="483"/>
      <c r="AM36" s="483"/>
      <c r="AN36" s="483"/>
      <c r="AO36" s="483"/>
      <c r="AP36" s="483"/>
      <c r="AQ36" s="483"/>
      <c r="AR36" s="483"/>
      <c r="AS36" s="483"/>
      <c r="AT36" s="483"/>
      <c r="AU36" s="483"/>
      <c r="AV36" s="483"/>
      <c r="AW36" s="483"/>
      <c r="AX36" s="483"/>
      <c r="AY36" s="483"/>
      <c r="AZ36" s="483"/>
      <c r="BA36" s="483"/>
      <c r="BB36" s="483"/>
      <c r="BC36" s="483"/>
      <c r="BD36" s="483"/>
      <c r="BE36" s="483"/>
      <c r="BF36" s="483"/>
      <c r="BG36" s="483"/>
      <c r="BH36" s="483"/>
      <c r="BI36" s="483"/>
      <c r="BJ36" s="483"/>
      <c r="BK36" s="483"/>
      <c r="BL36" s="483"/>
      <c r="BM36" s="483"/>
      <c r="BN36" s="483"/>
      <c r="BO36" s="483"/>
      <c r="BP36" s="483"/>
      <c r="BQ36" s="483"/>
      <c r="BR36" s="483"/>
      <c r="BS36" s="483"/>
      <c r="BT36" s="48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</row>
    <row r="37" spans="1:90" ht="8.25" customHeight="1" x14ac:dyDescent="0.15">
      <c r="A37" s="231" t="s">
        <v>178</v>
      </c>
      <c r="B37" s="104"/>
      <c r="C37" s="104"/>
      <c r="D37" s="104"/>
      <c r="E37" s="104"/>
      <c r="F37" s="104"/>
      <c r="G37" s="81"/>
      <c r="H37" s="468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86"/>
      <c r="AF37" s="482"/>
      <c r="AG37" s="487"/>
      <c r="AH37" s="487"/>
      <c r="AI37" s="482"/>
      <c r="AJ37" s="482"/>
      <c r="AK37" s="483"/>
      <c r="AL37" s="483"/>
      <c r="AM37" s="483"/>
      <c r="AN37" s="483"/>
      <c r="AO37" s="483"/>
      <c r="AP37" s="483"/>
      <c r="AQ37" s="483"/>
      <c r="AR37" s="483"/>
      <c r="AS37" s="483"/>
      <c r="AT37" s="483"/>
      <c r="AU37" s="483"/>
      <c r="AV37" s="483"/>
      <c r="AW37" s="483"/>
      <c r="AX37" s="483"/>
      <c r="AY37" s="483"/>
      <c r="AZ37" s="483"/>
      <c r="BA37" s="483"/>
      <c r="BB37" s="483"/>
      <c r="BC37" s="483"/>
      <c r="BD37" s="483"/>
      <c r="BE37" s="483"/>
      <c r="BF37" s="483"/>
      <c r="BG37" s="483"/>
      <c r="BH37" s="483"/>
      <c r="BI37" s="483"/>
      <c r="BJ37" s="483"/>
      <c r="BK37" s="483"/>
      <c r="BL37" s="483"/>
      <c r="BM37" s="483"/>
      <c r="BN37" s="483"/>
      <c r="BO37" s="483"/>
      <c r="BP37" s="483"/>
      <c r="BQ37" s="483"/>
      <c r="BR37" s="483"/>
      <c r="BS37" s="483"/>
      <c r="BT37" s="48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1:90" ht="3" customHeight="1" x14ac:dyDescent="0.15">
      <c r="A38" s="468"/>
      <c r="B38" s="468"/>
      <c r="C38" s="468"/>
      <c r="D38" s="468"/>
      <c r="E38" s="468"/>
      <c r="F38" s="468"/>
      <c r="G38" s="81"/>
      <c r="H38" s="468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86"/>
      <c r="AF38" s="482"/>
      <c r="AG38" s="487"/>
      <c r="AH38" s="487"/>
      <c r="AI38" s="482"/>
      <c r="AJ38" s="482"/>
      <c r="AK38" s="483"/>
      <c r="AL38" s="483"/>
      <c r="AM38" s="483"/>
      <c r="AN38" s="483"/>
      <c r="AO38" s="483"/>
      <c r="AP38" s="483"/>
      <c r="AQ38" s="483"/>
      <c r="AR38" s="483"/>
      <c r="AS38" s="483"/>
      <c r="AT38" s="483"/>
      <c r="AU38" s="483"/>
      <c r="AV38" s="483"/>
      <c r="AW38" s="483"/>
      <c r="AX38" s="483"/>
      <c r="AY38" s="483"/>
      <c r="AZ38" s="483"/>
      <c r="BA38" s="483"/>
      <c r="BB38" s="483"/>
      <c r="BC38" s="483"/>
      <c r="BD38" s="483"/>
      <c r="BE38" s="483"/>
      <c r="BF38" s="483"/>
      <c r="BG38" s="483"/>
      <c r="BH38" s="483"/>
      <c r="BI38" s="483"/>
      <c r="BJ38" s="483"/>
      <c r="BK38" s="483"/>
      <c r="BL38" s="483"/>
      <c r="BM38" s="483"/>
      <c r="BN38" s="483"/>
      <c r="BO38" s="483"/>
      <c r="BP38" s="483"/>
      <c r="BQ38" s="483"/>
      <c r="BR38" s="483"/>
      <c r="BS38" s="483"/>
      <c r="BT38" s="48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1:90" ht="8.25" customHeight="1" x14ac:dyDescent="0.15">
      <c r="A39" s="231" t="s">
        <v>179</v>
      </c>
      <c r="B39" s="104"/>
      <c r="C39" s="104"/>
      <c r="D39" s="104"/>
      <c r="E39" s="104"/>
      <c r="F39" s="104"/>
      <c r="G39" s="104"/>
      <c r="H39" s="468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86"/>
      <c r="AF39" s="482"/>
      <c r="AG39" s="487"/>
      <c r="AH39" s="487"/>
      <c r="AI39" s="482"/>
      <c r="AJ39" s="482"/>
      <c r="AK39" s="483"/>
      <c r="AL39" s="483"/>
      <c r="AM39" s="483"/>
      <c r="AN39" s="483"/>
      <c r="AO39" s="483"/>
      <c r="AP39" s="483"/>
      <c r="AQ39" s="483"/>
      <c r="AR39" s="483"/>
      <c r="AS39" s="483"/>
      <c r="AT39" s="483"/>
      <c r="AU39" s="483"/>
      <c r="AV39" s="483"/>
      <c r="AW39" s="483"/>
      <c r="AX39" s="483"/>
      <c r="AY39" s="483"/>
      <c r="AZ39" s="483"/>
      <c r="BA39" s="483"/>
      <c r="BB39" s="483"/>
      <c r="BC39" s="483"/>
      <c r="BD39" s="483"/>
      <c r="BE39" s="483"/>
      <c r="BF39" s="483"/>
      <c r="BG39" s="483"/>
      <c r="BH39" s="483"/>
      <c r="BI39" s="483"/>
      <c r="BJ39" s="483"/>
      <c r="BK39" s="483"/>
      <c r="BL39" s="483"/>
      <c r="BM39" s="483"/>
      <c r="BN39" s="483"/>
      <c r="BO39" s="483"/>
      <c r="BP39" s="483"/>
      <c r="BQ39" s="483"/>
      <c r="BR39" s="483"/>
      <c r="BS39" s="483"/>
      <c r="BT39" s="48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 ht="8.25" customHeight="1" x14ac:dyDescent="0.15">
      <c r="A40" s="147" t="s">
        <v>35</v>
      </c>
      <c r="B40" s="335" t="s">
        <v>36</v>
      </c>
      <c r="C40" s="147" t="s">
        <v>78</v>
      </c>
      <c r="D40" s="147" t="s">
        <v>79</v>
      </c>
      <c r="E40" s="335" t="s">
        <v>48</v>
      </c>
      <c r="F40" s="484" t="s">
        <v>49</v>
      </c>
      <c r="G40" s="385"/>
      <c r="H40" s="468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86"/>
      <c r="AF40" s="482"/>
      <c r="AG40" s="487"/>
      <c r="AH40" s="487"/>
      <c r="AI40" s="482"/>
      <c r="AJ40" s="482"/>
      <c r="AK40" s="483"/>
      <c r="AL40" s="483"/>
      <c r="AM40" s="483"/>
      <c r="AN40" s="483"/>
      <c r="AO40" s="483"/>
      <c r="AP40" s="483"/>
      <c r="AQ40" s="483"/>
      <c r="AR40" s="483"/>
      <c r="AS40" s="483"/>
      <c r="AT40" s="483"/>
      <c r="AU40" s="483"/>
      <c r="AV40" s="483"/>
      <c r="AW40" s="483"/>
      <c r="AX40" s="483"/>
      <c r="AY40" s="483"/>
      <c r="AZ40" s="483"/>
      <c r="BA40" s="483"/>
      <c r="BB40" s="483"/>
      <c r="BC40" s="483"/>
      <c r="BD40" s="483"/>
      <c r="BE40" s="483"/>
      <c r="BF40" s="483"/>
      <c r="BG40" s="483"/>
      <c r="BH40" s="483"/>
      <c r="BI40" s="483"/>
      <c r="BJ40" s="483"/>
      <c r="BK40" s="483"/>
      <c r="BL40" s="483"/>
      <c r="BM40" s="483"/>
      <c r="BN40" s="483"/>
      <c r="BO40" s="483"/>
      <c r="BP40" s="483"/>
      <c r="BQ40" s="483"/>
      <c r="BR40" s="483"/>
      <c r="BS40" s="483"/>
      <c r="BT40" s="48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1:90" ht="8.25" customHeight="1" x14ac:dyDescent="0.15">
      <c r="A41" s="335" t="s">
        <v>184</v>
      </c>
      <c r="B41" s="335" t="s">
        <v>38</v>
      </c>
      <c r="C41" s="335" t="s">
        <v>180</v>
      </c>
      <c r="D41" s="335" t="s">
        <v>181</v>
      </c>
      <c r="E41" s="335" t="s">
        <v>182</v>
      </c>
      <c r="F41" s="484" t="s">
        <v>236</v>
      </c>
      <c r="G41" s="81"/>
      <c r="H41" s="468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86"/>
      <c r="AF41" s="482"/>
      <c r="AG41" s="487"/>
      <c r="AH41" s="487"/>
      <c r="AI41" s="482"/>
      <c r="AJ41" s="482"/>
      <c r="AK41" s="483"/>
      <c r="AL41" s="483"/>
      <c r="AM41" s="483"/>
      <c r="AN41" s="483"/>
      <c r="AO41" s="483"/>
      <c r="AP41" s="483"/>
      <c r="AQ41" s="483"/>
      <c r="AR41" s="483"/>
      <c r="AS41" s="483"/>
      <c r="AT41" s="483"/>
      <c r="AU41" s="483"/>
      <c r="AV41" s="483"/>
      <c r="AW41" s="483"/>
      <c r="AX41" s="483"/>
      <c r="AY41" s="483"/>
      <c r="AZ41" s="483"/>
      <c r="BA41" s="483"/>
      <c r="BB41" s="483"/>
      <c r="BC41" s="483"/>
      <c r="BD41" s="483"/>
      <c r="BE41" s="483"/>
      <c r="BF41" s="483"/>
      <c r="BG41" s="483"/>
      <c r="BH41" s="483"/>
      <c r="BI41" s="483"/>
      <c r="BJ41" s="483"/>
      <c r="BK41" s="483"/>
      <c r="BL41" s="483"/>
      <c r="BM41" s="483"/>
      <c r="BN41" s="483"/>
      <c r="BO41" s="483"/>
      <c r="BP41" s="483"/>
      <c r="BQ41" s="483"/>
      <c r="BR41" s="483"/>
      <c r="BS41" s="483"/>
      <c r="BT41" s="48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 ht="8.25" customHeight="1" x14ac:dyDescent="0.15">
      <c r="A42" s="335" t="s">
        <v>57</v>
      </c>
      <c r="B42" s="484" t="s">
        <v>58</v>
      </c>
      <c r="C42" s="468"/>
      <c r="D42" s="468"/>
      <c r="E42" s="468"/>
      <c r="F42" s="468"/>
      <c r="G42" s="81"/>
      <c r="H42" s="81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86"/>
      <c r="AF42" s="482"/>
      <c r="AG42" s="487"/>
      <c r="AH42" s="487"/>
      <c r="AI42" s="482"/>
      <c r="AJ42" s="482"/>
      <c r="AK42" s="483"/>
      <c r="AL42" s="483"/>
      <c r="AM42" s="483"/>
      <c r="AN42" s="483"/>
      <c r="AO42" s="483"/>
      <c r="AP42" s="483"/>
      <c r="AQ42" s="483"/>
      <c r="AR42" s="483"/>
      <c r="AS42" s="483"/>
      <c r="AT42" s="483"/>
      <c r="AU42" s="483"/>
      <c r="AV42" s="483"/>
      <c r="AW42" s="483"/>
      <c r="AX42" s="483"/>
      <c r="AY42" s="483"/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  <c r="BO42" s="483"/>
      <c r="BP42" s="483"/>
      <c r="BQ42" s="483"/>
      <c r="BR42" s="483"/>
      <c r="BS42" s="483"/>
      <c r="BT42" s="48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1:90" ht="8.25" customHeight="1" x14ac:dyDescent="0.15">
      <c r="A43" s="335" t="s">
        <v>183</v>
      </c>
      <c r="B43" s="231" t="s">
        <v>185</v>
      </c>
      <c r="C43" s="484"/>
      <c r="D43" s="335"/>
      <c r="E43" s="335"/>
      <c r="F43" s="335"/>
      <c r="G43" s="81"/>
      <c r="H43" s="81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486"/>
      <c r="AF43" s="482"/>
      <c r="AG43" s="487"/>
      <c r="AH43" s="487"/>
      <c r="AI43" s="482"/>
      <c r="AJ43" s="482"/>
      <c r="AK43" s="483"/>
      <c r="AL43" s="483"/>
      <c r="AM43" s="483"/>
      <c r="AN43" s="483"/>
      <c r="AO43" s="483"/>
      <c r="AP43" s="483"/>
      <c r="AQ43" s="483"/>
      <c r="AR43" s="483"/>
      <c r="AS43" s="483"/>
      <c r="AT43" s="483"/>
      <c r="AU43" s="483"/>
      <c r="AV43" s="483"/>
      <c r="AW43" s="483"/>
      <c r="AX43" s="483"/>
      <c r="AY43" s="483"/>
      <c r="AZ43" s="483"/>
      <c r="BA43" s="483"/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  <c r="BO43" s="483"/>
      <c r="BP43" s="483"/>
      <c r="BQ43" s="483"/>
      <c r="BR43" s="483"/>
      <c r="BS43" s="483"/>
      <c r="BT43" s="48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pans="1:90" ht="8.25" customHeight="1" x14ac:dyDescent="0.15">
      <c r="A44" s="490" t="s">
        <v>255</v>
      </c>
      <c r="B44" s="81"/>
      <c r="C44" s="81"/>
      <c r="D44" s="81"/>
      <c r="E44" s="81"/>
      <c r="F44" s="81"/>
      <c r="G44" s="81"/>
      <c r="H44" s="81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86"/>
      <c r="AF44" s="482"/>
      <c r="AG44" s="487"/>
      <c r="AH44" s="487"/>
      <c r="AI44" s="482"/>
      <c r="AJ44" s="482"/>
      <c r="AK44" s="483"/>
      <c r="AL44" s="483"/>
      <c r="AM44" s="483"/>
      <c r="AN44" s="483"/>
      <c r="AO44" s="483"/>
      <c r="AP44" s="483"/>
      <c r="AQ44" s="483"/>
      <c r="AR44" s="483"/>
      <c r="AS44" s="483"/>
      <c r="AT44" s="483"/>
      <c r="AU44" s="483"/>
      <c r="AV44" s="483"/>
      <c r="AW44" s="483"/>
      <c r="AX44" s="483"/>
      <c r="AY44" s="483"/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483"/>
      <c r="BP44" s="483"/>
      <c r="BQ44" s="483"/>
      <c r="BR44" s="483"/>
      <c r="BS44" s="483"/>
      <c r="BT44" s="48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1:90" ht="8.25" customHeight="1" x14ac:dyDescent="0.15">
      <c r="A45" s="491" t="s">
        <v>259</v>
      </c>
      <c r="B45" s="220"/>
      <c r="C45" s="220"/>
      <c r="D45" s="220"/>
      <c r="E45" s="81"/>
      <c r="F45" s="81"/>
      <c r="G45" s="385"/>
      <c r="H45" s="81"/>
      <c r="I45" s="475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  <c r="AB45" s="475"/>
      <c r="AC45" s="475"/>
      <c r="AD45" s="475"/>
      <c r="AE45" s="486"/>
      <c r="AF45" s="482"/>
      <c r="AG45" s="487"/>
      <c r="AH45" s="487"/>
      <c r="AI45" s="482"/>
      <c r="AJ45" s="482"/>
      <c r="AK45" s="483"/>
      <c r="AL45" s="483"/>
      <c r="AM45" s="483"/>
      <c r="AN45" s="483"/>
      <c r="AO45" s="483"/>
      <c r="AP45" s="483"/>
      <c r="AQ45" s="483"/>
      <c r="AR45" s="483"/>
      <c r="AS45" s="483"/>
      <c r="AT45" s="483"/>
      <c r="AU45" s="483"/>
      <c r="AV45" s="483"/>
      <c r="AW45" s="483"/>
      <c r="AX45" s="483"/>
      <c r="AY45" s="483"/>
      <c r="AZ45" s="483"/>
      <c r="BA45" s="483"/>
      <c r="BB45" s="483"/>
      <c r="BC45" s="483"/>
      <c r="BD45" s="483"/>
      <c r="BE45" s="483"/>
      <c r="BF45" s="483"/>
      <c r="BG45" s="483"/>
      <c r="BH45" s="483"/>
      <c r="BI45" s="483"/>
      <c r="BJ45" s="483"/>
      <c r="BK45" s="483"/>
      <c r="BL45" s="483"/>
      <c r="BM45" s="483"/>
      <c r="BN45" s="483"/>
      <c r="BO45" s="483"/>
      <c r="BP45" s="483"/>
      <c r="BQ45" s="483"/>
      <c r="BR45" s="483"/>
      <c r="BS45" s="483"/>
      <c r="BT45" s="48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</row>
    <row r="46" spans="1:90" ht="8.25" customHeight="1" x14ac:dyDescent="0.15">
      <c r="A46" s="491" t="s">
        <v>258</v>
      </c>
      <c r="B46" s="220"/>
      <c r="C46" s="220"/>
      <c r="D46" s="220"/>
      <c r="E46" s="81"/>
      <c r="F46" s="81"/>
      <c r="G46" s="385"/>
      <c r="H46" s="81"/>
      <c r="I46" s="475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  <c r="AA46" s="475"/>
      <c r="AB46" s="475"/>
      <c r="AC46" s="475"/>
      <c r="AD46" s="475"/>
      <c r="AE46" s="486"/>
      <c r="AF46" s="482"/>
      <c r="AG46" s="487"/>
      <c r="AH46" s="487"/>
      <c r="AI46" s="482"/>
      <c r="AJ46" s="482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83"/>
      <c r="BL46" s="483"/>
      <c r="BM46" s="483"/>
      <c r="BN46" s="483"/>
      <c r="BO46" s="483"/>
      <c r="BP46" s="483"/>
      <c r="BQ46" s="483"/>
      <c r="BR46" s="483"/>
      <c r="BS46" s="483"/>
      <c r="BT46" s="48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</row>
    <row r="47" spans="1:90" ht="8.25" customHeight="1" x14ac:dyDescent="0.15">
      <c r="A47" s="492" t="s">
        <v>188</v>
      </c>
      <c r="B47" s="104"/>
      <c r="C47" s="491"/>
      <c r="D47" s="220"/>
      <c r="E47" s="492"/>
      <c r="F47" s="220"/>
      <c r="G47" s="81"/>
      <c r="H47" s="81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5"/>
      <c r="AE47" s="486"/>
      <c r="AF47" s="482"/>
      <c r="AG47" s="487"/>
      <c r="AH47" s="487"/>
      <c r="AI47" s="482"/>
      <c r="AJ47" s="482"/>
      <c r="AK47" s="483"/>
      <c r="AL47" s="483"/>
      <c r="AM47" s="483"/>
      <c r="AN47" s="483"/>
      <c r="AO47" s="483"/>
      <c r="AP47" s="483"/>
      <c r="AQ47" s="483"/>
      <c r="AR47" s="483"/>
      <c r="AS47" s="483"/>
      <c r="AT47" s="483"/>
      <c r="AU47" s="483"/>
      <c r="AV47" s="483"/>
      <c r="AW47" s="483"/>
      <c r="AX47" s="483"/>
      <c r="AY47" s="483"/>
      <c r="AZ47" s="483"/>
      <c r="BA47" s="483"/>
      <c r="BB47" s="483"/>
      <c r="BC47" s="483"/>
      <c r="BD47" s="483"/>
      <c r="BE47" s="483"/>
      <c r="BF47" s="483"/>
      <c r="BG47" s="483"/>
      <c r="BH47" s="483"/>
      <c r="BI47" s="483"/>
      <c r="BJ47" s="483"/>
      <c r="BK47" s="483"/>
      <c r="BL47" s="483"/>
      <c r="BM47" s="483"/>
      <c r="BN47" s="483"/>
      <c r="BO47" s="483"/>
      <c r="BP47" s="483"/>
      <c r="BQ47" s="483"/>
      <c r="BR47" s="483"/>
      <c r="BS47" s="483"/>
      <c r="BT47" s="48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1:90" ht="3" customHeight="1" x14ac:dyDescent="0.15">
      <c r="A48" s="492"/>
      <c r="B48" s="104"/>
      <c r="C48" s="491"/>
      <c r="D48" s="220"/>
      <c r="E48" s="492"/>
      <c r="F48" s="220"/>
      <c r="G48" s="81"/>
      <c r="H48" s="81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86"/>
      <c r="AF48" s="482"/>
      <c r="AG48" s="487"/>
      <c r="AH48" s="487"/>
      <c r="AI48" s="482"/>
      <c r="AJ48" s="482"/>
      <c r="AK48" s="483"/>
      <c r="AL48" s="483"/>
      <c r="AM48" s="483"/>
      <c r="AN48" s="483"/>
      <c r="AO48" s="483"/>
      <c r="AP48" s="483"/>
      <c r="AQ48" s="483"/>
      <c r="AR48" s="483"/>
      <c r="AS48" s="483"/>
      <c r="AT48" s="483"/>
      <c r="AU48" s="483"/>
      <c r="AV48" s="483"/>
      <c r="AW48" s="483"/>
      <c r="AX48" s="483"/>
      <c r="AY48" s="483"/>
      <c r="AZ48" s="483"/>
      <c r="BA48" s="483"/>
      <c r="BB48" s="483"/>
      <c r="BC48" s="483"/>
      <c r="BD48" s="483"/>
      <c r="BE48" s="483"/>
      <c r="BF48" s="483"/>
      <c r="BG48" s="483"/>
      <c r="BH48" s="483"/>
      <c r="BI48" s="483"/>
      <c r="BJ48" s="483"/>
      <c r="BK48" s="483"/>
      <c r="BL48" s="483"/>
      <c r="BM48" s="483"/>
      <c r="BN48" s="483"/>
      <c r="BO48" s="483"/>
      <c r="BP48" s="483"/>
      <c r="BQ48" s="483"/>
      <c r="BR48" s="483"/>
      <c r="BS48" s="483"/>
      <c r="BT48" s="48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</row>
    <row r="49" spans="1:90" ht="8.25" customHeight="1" x14ac:dyDescent="0.15">
      <c r="A49" s="71" t="s">
        <v>257</v>
      </c>
      <c r="B49" s="493"/>
      <c r="C49" s="491"/>
      <c r="D49" s="491"/>
      <c r="E49" s="144"/>
      <c r="F49" s="491"/>
      <c r="G49" s="385"/>
      <c r="H49" s="253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5"/>
      <c r="T49" s="475"/>
      <c r="U49" s="475"/>
      <c r="V49" s="475"/>
      <c r="W49" s="475"/>
      <c r="X49" s="475"/>
      <c r="Y49" s="475"/>
      <c r="Z49" s="475"/>
      <c r="AA49" s="475"/>
      <c r="AB49" s="475"/>
      <c r="AC49" s="475"/>
      <c r="AD49" s="475"/>
      <c r="AE49" s="486"/>
      <c r="AF49" s="482"/>
      <c r="AG49" s="487"/>
      <c r="AH49" s="487"/>
      <c r="AI49" s="482"/>
      <c r="AJ49" s="482"/>
      <c r="AK49" s="483"/>
      <c r="AL49" s="483"/>
      <c r="AM49" s="483"/>
      <c r="AN49" s="483"/>
      <c r="AO49" s="483"/>
      <c r="AP49" s="483"/>
      <c r="AQ49" s="483"/>
      <c r="AR49" s="483"/>
      <c r="AS49" s="483"/>
      <c r="AT49" s="483"/>
      <c r="AU49" s="483"/>
      <c r="AV49" s="483"/>
      <c r="AW49" s="483"/>
      <c r="AX49" s="483"/>
      <c r="AY49" s="483"/>
      <c r="AZ49" s="483"/>
      <c r="BA49" s="483"/>
      <c r="BB49" s="483"/>
      <c r="BC49" s="483"/>
      <c r="BD49" s="483"/>
      <c r="BE49" s="483"/>
      <c r="BF49" s="483"/>
      <c r="BG49" s="483"/>
      <c r="BH49" s="483"/>
      <c r="BI49" s="483"/>
      <c r="BJ49" s="483"/>
      <c r="BK49" s="483"/>
      <c r="BL49" s="483"/>
      <c r="BM49" s="483"/>
      <c r="BN49" s="483"/>
      <c r="BO49" s="483"/>
      <c r="BP49" s="483"/>
      <c r="BQ49" s="483"/>
      <c r="BR49" s="483"/>
      <c r="BS49" s="483"/>
      <c r="BT49" s="48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1:90" ht="8.25" customHeight="1" x14ac:dyDescent="0.15">
      <c r="A50" s="71" t="s">
        <v>260</v>
      </c>
      <c r="B50" s="491"/>
      <c r="C50" s="491"/>
      <c r="D50" s="492"/>
      <c r="E50" s="253"/>
      <c r="F50" s="494"/>
      <c r="G50" s="385"/>
      <c r="H50" s="104" t="s">
        <v>39</v>
      </c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  <c r="AB50" s="475"/>
      <c r="AC50" s="475"/>
      <c r="AD50" s="475"/>
      <c r="AE50" s="486"/>
      <c r="AF50" s="482"/>
      <c r="AG50" s="495"/>
      <c r="AH50" s="495"/>
      <c r="AI50" s="482"/>
      <c r="AJ50" s="482"/>
      <c r="AK50" s="483"/>
      <c r="AL50" s="483"/>
      <c r="AM50" s="483"/>
      <c r="AN50" s="483"/>
      <c r="AO50" s="483"/>
      <c r="AP50" s="483"/>
      <c r="AQ50" s="483"/>
      <c r="AR50" s="483"/>
      <c r="AS50" s="483"/>
      <c r="AT50" s="483"/>
      <c r="AU50" s="483"/>
      <c r="AV50" s="483"/>
      <c r="AW50" s="483"/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3"/>
      <c r="BN50" s="483"/>
      <c r="BO50" s="483"/>
      <c r="BP50" s="483"/>
      <c r="BQ50" s="483"/>
      <c r="BR50" s="483"/>
      <c r="BS50" s="483"/>
      <c r="BT50" s="48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1:90" ht="8.25" customHeight="1" x14ac:dyDescent="0.15">
      <c r="A51" s="459" t="s">
        <v>32</v>
      </c>
      <c r="B51" s="496"/>
      <c r="C51" s="496"/>
      <c r="D51" s="459" t="s">
        <v>32</v>
      </c>
      <c r="E51" s="496"/>
      <c r="F51" s="496"/>
      <c r="G51" s="496"/>
      <c r="H51" s="498" t="s">
        <v>32</v>
      </c>
      <c r="I51" s="475"/>
      <c r="J51" s="475"/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  <c r="AB51" s="475"/>
      <c r="AC51" s="475"/>
      <c r="AD51" s="475"/>
      <c r="AE51" s="486"/>
      <c r="AF51" s="482"/>
      <c r="AG51" s="495"/>
      <c r="AH51" s="495"/>
      <c r="AI51" s="482"/>
      <c r="AJ51" s="482"/>
      <c r="AK51" s="483"/>
      <c r="AL51" s="483"/>
      <c r="AM51" s="483"/>
      <c r="AN51" s="483"/>
      <c r="AO51" s="483"/>
      <c r="AP51" s="483"/>
      <c r="AQ51" s="483"/>
      <c r="AR51" s="483"/>
      <c r="AS51" s="483"/>
      <c r="AT51" s="483"/>
      <c r="AU51" s="483"/>
      <c r="AV51" s="483"/>
      <c r="AW51" s="483"/>
      <c r="AX51" s="483"/>
      <c r="AY51" s="483"/>
      <c r="AZ51" s="483"/>
      <c r="BA51" s="483"/>
      <c r="BB51" s="483"/>
      <c r="BC51" s="483"/>
      <c r="BD51" s="483"/>
      <c r="BE51" s="483"/>
      <c r="BF51" s="483"/>
      <c r="BG51" s="483"/>
      <c r="BH51" s="483"/>
      <c r="BI51" s="483"/>
      <c r="BJ51" s="483"/>
      <c r="BK51" s="483"/>
      <c r="BL51" s="483"/>
      <c r="BM51" s="483"/>
      <c r="BN51" s="483"/>
      <c r="BO51" s="483"/>
      <c r="BP51" s="483"/>
      <c r="BQ51" s="483"/>
      <c r="BR51" s="483"/>
      <c r="BS51" s="483"/>
      <c r="BT51" s="48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</row>
    <row r="52" spans="1:90" ht="8.25" customHeight="1" x14ac:dyDescent="0.15">
      <c r="A52" s="497" t="s">
        <v>256</v>
      </c>
      <c r="B52" s="81"/>
      <c r="C52" s="82"/>
      <c r="D52" s="81"/>
      <c r="E52" s="82"/>
      <c r="F52" s="81"/>
      <c r="G52" s="81"/>
      <c r="H52" s="459"/>
      <c r="I52" s="475"/>
      <c r="J52" s="475"/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  <c r="AB52" s="475"/>
      <c r="AC52" s="475"/>
      <c r="AD52" s="475"/>
      <c r="AE52" s="486"/>
      <c r="AF52" s="482"/>
      <c r="AG52" s="495"/>
      <c r="AH52" s="495"/>
      <c r="AI52" s="482"/>
      <c r="AJ52" s="482"/>
      <c r="AK52" s="483"/>
      <c r="AL52" s="483"/>
      <c r="AM52" s="483"/>
      <c r="AN52" s="483"/>
      <c r="AO52" s="483"/>
      <c r="AP52" s="483"/>
      <c r="AQ52" s="483"/>
      <c r="AR52" s="483"/>
      <c r="AS52" s="483"/>
      <c r="AT52" s="483"/>
      <c r="AU52" s="483"/>
      <c r="AV52" s="483"/>
      <c r="AW52" s="483"/>
      <c r="AX52" s="483"/>
      <c r="AY52" s="483"/>
      <c r="AZ52" s="483"/>
      <c r="BA52" s="483"/>
      <c r="BB52" s="483"/>
      <c r="BC52" s="483"/>
      <c r="BD52" s="483"/>
      <c r="BE52" s="483"/>
      <c r="BF52" s="483"/>
      <c r="BG52" s="483"/>
      <c r="BH52" s="483"/>
      <c r="BI52" s="483"/>
      <c r="BJ52" s="483"/>
      <c r="BK52" s="483"/>
      <c r="BL52" s="483"/>
      <c r="BM52" s="483"/>
      <c r="BN52" s="483"/>
      <c r="BO52" s="483"/>
      <c r="BP52" s="483"/>
      <c r="BQ52" s="483"/>
      <c r="BR52" s="483"/>
      <c r="BS52" s="483"/>
      <c r="BT52" s="48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</row>
    <row r="53" spans="1:90" ht="10.35" hidden="1" customHeight="1" x14ac:dyDescent="0.15">
      <c r="A53" s="2"/>
      <c r="B53" s="32"/>
      <c r="C53" s="32"/>
      <c r="D53" s="9"/>
      <c r="E53" s="32"/>
      <c r="F53" s="32"/>
      <c r="G53" s="32"/>
      <c r="H53" s="9"/>
      <c r="I53" s="27"/>
      <c r="J53" s="27"/>
      <c r="K53" s="27"/>
      <c r="L53" s="27"/>
      <c r="M53" s="27"/>
      <c r="N53" s="27"/>
      <c r="O53" s="27"/>
      <c r="P53" s="9"/>
      <c r="Q53" s="4"/>
      <c r="R53" s="9"/>
      <c r="S53" s="13"/>
      <c r="T53" s="9"/>
      <c r="U53" s="2"/>
      <c r="V53" s="9"/>
      <c r="W53" s="9"/>
      <c r="X53" s="9"/>
      <c r="Y53" s="9"/>
      <c r="Z53" s="9"/>
      <c r="AA53" s="9"/>
      <c r="AB53" s="9"/>
      <c r="AC53" s="9"/>
      <c r="AD53" s="9"/>
      <c r="AE53" s="59"/>
      <c r="AF53" s="28"/>
      <c r="AG53" s="29"/>
      <c r="AH53" s="29"/>
      <c r="AI53" s="28"/>
      <c r="AJ53" s="28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1:90" ht="10.35" hidden="1" customHeight="1" x14ac:dyDescent="0.15">
      <c r="A54" s="2"/>
      <c r="B54" s="32"/>
      <c r="C54" s="32"/>
      <c r="D54" s="9"/>
      <c r="E54" s="32"/>
      <c r="F54" s="32"/>
      <c r="G54" s="32"/>
      <c r="H54" s="9"/>
      <c r="I54" s="27"/>
      <c r="J54" s="27"/>
      <c r="K54" s="27"/>
      <c r="L54" s="27"/>
      <c r="M54" s="27"/>
      <c r="N54" s="27"/>
      <c r="O54" s="27"/>
      <c r="P54" s="9"/>
      <c r="Q54" s="4"/>
      <c r="R54" s="9"/>
      <c r="S54" s="13"/>
      <c r="T54" s="9"/>
      <c r="U54" s="2"/>
      <c r="V54" s="9"/>
      <c r="W54" s="9"/>
      <c r="X54" s="9"/>
      <c r="Y54" s="9"/>
      <c r="Z54" s="9"/>
      <c r="AA54" s="9"/>
      <c r="AB54" s="9"/>
      <c r="AC54" s="9"/>
      <c r="AD54" s="9"/>
      <c r="AE54" s="59"/>
      <c r="AF54" s="28"/>
      <c r="AG54" s="29"/>
      <c r="AH54" s="29"/>
      <c r="AI54" s="28"/>
      <c r="AJ54" s="28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1:90" ht="10.35" hidden="1" customHeight="1" x14ac:dyDescent="0.15">
      <c r="A55" s="2"/>
      <c r="B55" s="32"/>
      <c r="C55" s="32"/>
      <c r="D55" s="9"/>
      <c r="E55" s="32"/>
      <c r="F55" s="32"/>
      <c r="G55" s="32"/>
      <c r="H55" s="9"/>
      <c r="I55" s="27"/>
      <c r="J55" s="27"/>
      <c r="K55" s="27"/>
      <c r="L55" s="27"/>
      <c r="M55" s="27"/>
      <c r="N55" s="27"/>
      <c r="O55" s="27"/>
      <c r="P55" s="9"/>
      <c r="Q55" s="4"/>
      <c r="R55" s="9"/>
      <c r="S55" s="13"/>
      <c r="T55" s="9"/>
      <c r="U55" s="2"/>
      <c r="V55" s="9"/>
      <c r="W55" s="9"/>
      <c r="X55" s="9"/>
      <c r="Y55" s="9"/>
      <c r="Z55" s="9"/>
      <c r="AA55" s="9"/>
      <c r="AB55" s="9"/>
      <c r="AC55" s="9"/>
      <c r="AD55" s="9"/>
      <c r="AE55" s="59"/>
      <c r="AF55" s="28"/>
      <c r="AG55" s="29"/>
      <c r="AH55" s="29"/>
      <c r="AI55" s="28"/>
      <c r="AJ55" s="28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1:90" ht="10.35" hidden="1" customHeight="1" x14ac:dyDescent="0.15">
      <c r="A56" s="2"/>
      <c r="B56" s="32"/>
      <c r="C56" s="32"/>
      <c r="D56" s="9"/>
      <c r="E56" s="32"/>
      <c r="F56" s="32"/>
      <c r="G56" s="32"/>
      <c r="H56" s="9"/>
      <c r="I56" s="27"/>
      <c r="J56" s="27"/>
      <c r="K56" s="27"/>
      <c r="L56" s="27"/>
      <c r="M56" s="27"/>
      <c r="N56" s="27"/>
      <c r="O56" s="27"/>
      <c r="P56" s="9"/>
      <c r="Q56" s="4"/>
      <c r="R56" s="9"/>
      <c r="S56" s="13"/>
      <c r="T56" s="9"/>
      <c r="U56" s="2"/>
      <c r="V56" s="9"/>
      <c r="W56" s="9"/>
      <c r="X56" s="9"/>
      <c r="Y56" s="9"/>
      <c r="Z56" s="9"/>
      <c r="AA56" s="9"/>
      <c r="AB56" s="9"/>
      <c r="AC56" s="9"/>
      <c r="AD56" s="9"/>
      <c r="AE56" s="59"/>
      <c r="AF56" s="28"/>
      <c r="AG56" s="29"/>
      <c r="AH56" s="29"/>
      <c r="AI56" s="28"/>
      <c r="AJ56" s="28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1:90" ht="10.35" hidden="1" customHeight="1" x14ac:dyDescent="0.15">
      <c r="A57" s="2"/>
      <c r="B57" s="32"/>
      <c r="C57" s="32"/>
      <c r="D57" s="9"/>
      <c r="E57" s="32"/>
      <c r="F57" s="32"/>
      <c r="G57" s="32"/>
      <c r="H57" s="9"/>
      <c r="I57" s="27"/>
      <c r="J57" s="27"/>
      <c r="K57" s="27"/>
      <c r="L57" s="27"/>
      <c r="M57" s="27"/>
      <c r="N57" s="27"/>
      <c r="O57" s="27"/>
      <c r="P57" s="9"/>
      <c r="Q57" s="4"/>
      <c r="R57" s="9"/>
      <c r="S57" s="13"/>
      <c r="T57" s="9"/>
      <c r="U57" s="2"/>
      <c r="V57" s="9"/>
      <c r="W57" s="9"/>
      <c r="X57" s="9"/>
      <c r="Y57" s="9"/>
      <c r="Z57" s="9"/>
      <c r="AA57" s="9"/>
      <c r="AB57" s="9"/>
      <c r="AC57" s="9"/>
      <c r="AD57" s="9"/>
      <c r="AE57" s="59"/>
      <c r="AF57" s="28"/>
      <c r="AG57" s="29"/>
      <c r="AH57" s="29"/>
      <c r="AI57" s="28"/>
      <c r="AJ57" s="28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1:90" ht="10.35" hidden="1" customHeight="1" x14ac:dyDescent="0.15">
      <c r="A58" s="2"/>
      <c r="B58" s="32"/>
      <c r="C58" s="32"/>
      <c r="D58" s="9"/>
      <c r="E58" s="32"/>
      <c r="F58" s="32"/>
      <c r="G58" s="32"/>
      <c r="H58" s="9"/>
      <c r="I58" s="27"/>
      <c r="J58" s="27"/>
      <c r="K58" s="27"/>
      <c r="L58" s="27"/>
      <c r="M58" s="27"/>
      <c r="N58" s="27"/>
      <c r="O58" s="27"/>
      <c r="P58" s="9"/>
      <c r="Q58" s="4"/>
      <c r="R58" s="9"/>
      <c r="S58" s="13"/>
      <c r="T58" s="9"/>
      <c r="U58" s="2"/>
      <c r="V58" s="9"/>
      <c r="W58" s="9"/>
      <c r="X58" s="9"/>
      <c r="Y58" s="9"/>
      <c r="Z58" s="9"/>
      <c r="AA58" s="9"/>
      <c r="AB58" s="9"/>
      <c r="AC58" s="9"/>
      <c r="AD58" s="9"/>
      <c r="AE58" s="59"/>
      <c r="AF58" s="28"/>
      <c r="AG58" s="29"/>
      <c r="AH58" s="29"/>
      <c r="AI58" s="28"/>
      <c r="AJ58" s="28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1:90" ht="10.35" hidden="1" customHeight="1" x14ac:dyDescent="0.15">
      <c r="A59" s="2"/>
      <c r="B59" s="32"/>
      <c r="C59" s="32"/>
      <c r="D59" s="9"/>
      <c r="E59" s="32"/>
      <c r="F59" s="32"/>
      <c r="G59" s="32"/>
      <c r="H59" s="9"/>
      <c r="I59" s="27"/>
      <c r="J59" s="27"/>
      <c r="K59" s="27"/>
      <c r="L59" s="27"/>
      <c r="M59" s="27"/>
      <c r="N59" s="27"/>
      <c r="O59" s="27"/>
      <c r="P59" s="9"/>
      <c r="Q59" s="4"/>
      <c r="R59" s="9"/>
      <c r="S59" s="13"/>
      <c r="T59" s="9"/>
      <c r="U59" s="2"/>
      <c r="V59" s="9"/>
      <c r="W59" s="9"/>
      <c r="X59" s="9"/>
      <c r="Y59" s="9"/>
      <c r="Z59" s="9"/>
      <c r="AA59" s="9"/>
      <c r="AB59" s="9"/>
      <c r="AC59" s="9"/>
      <c r="AD59" s="9"/>
      <c r="AE59" s="59"/>
      <c r="AF59" s="28"/>
      <c r="AG59" s="29"/>
      <c r="AH59" s="29"/>
      <c r="AI59" s="28"/>
      <c r="AJ59" s="28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1:90" ht="10.35" hidden="1" customHeight="1" x14ac:dyDescent="0.15">
      <c r="A60" s="2"/>
      <c r="B60" s="32"/>
      <c r="C60" s="32"/>
      <c r="D60" s="9"/>
      <c r="E60" s="32"/>
      <c r="F60" s="32"/>
      <c r="G60" s="32"/>
      <c r="H60" s="9"/>
      <c r="I60" s="27"/>
      <c r="J60" s="27"/>
      <c r="K60" s="27"/>
      <c r="L60" s="27"/>
      <c r="M60" s="27"/>
      <c r="N60" s="27"/>
      <c r="O60" s="27"/>
      <c r="P60" s="9"/>
      <c r="Q60" s="4"/>
      <c r="R60" s="9"/>
      <c r="S60" s="13"/>
      <c r="T60" s="9"/>
      <c r="U60" s="2"/>
      <c r="V60" s="9"/>
      <c r="W60" s="9"/>
      <c r="X60" s="9"/>
      <c r="Y60" s="9"/>
      <c r="Z60" s="9"/>
      <c r="AA60" s="9"/>
      <c r="AB60" s="9"/>
      <c r="AC60" s="9"/>
      <c r="AD60" s="9"/>
      <c r="AE60" s="59"/>
      <c r="AF60" s="28"/>
      <c r="AG60" s="29"/>
      <c r="AH60" s="29"/>
      <c r="AI60" s="28"/>
      <c r="AJ60" s="28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1:90" ht="10.35" hidden="1" customHeight="1" x14ac:dyDescent="0.15">
      <c r="A61" s="2"/>
      <c r="B61" s="32"/>
      <c r="C61" s="32"/>
      <c r="D61" s="9"/>
      <c r="E61" s="32"/>
      <c r="F61" s="32"/>
      <c r="G61" s="32"/>
      <c r="H61" s="9"/>
      <c r="I61" s="27"/>
      <c r="J61" s="27"/>
      <c r="K61" s="27"/>
      <c r="L61" s="27"/>
      <c r="M61" s="27"/>
      <c r="N61" s="27"/>
      <c r="O61" s="27"/>
      <c r="P61" s="9"/>
      <c r="Q61" s="4"/>
      <c r="R61" s="9"/>
      <c r="S61" s="13"/>
      <c r="T61" s="9"/>
      <c r="U61" s="2"/>
      <c r="V61" s="9"/>
      <c r="W61" s="9"/>
      <c r="X61" s="9"/>
      <c r="Y61" s="9"/>
      <c r="Z61" s="9"/>
      <c r="AA61" s="9"/>
      <c r="AB61" s="9"/>
      <c r="AC61" s="9"/>
      <c r="AD61" s="9"/>
      <c r="AE61" s="59"/>
      <c r="AF61" s="28"/>
      <c r="AG61" s="29"/>
      <c r="AH61" s="29"/>
      <c r="AI61" s="28"/>
      <c r="AJ61" s="28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</row>
    <row r="62" spans="1:90" ht="10.35" hidden="1" customHeight="1" x14ac:dyDescent="0.15">
      <c r="A62" s="2"/>
      <c r="B62" s="32"/>
      <c r="C62" s="32"/>
      <c r="D62" s="9"/>
      <c r="E62" s="32"/>
      <c r="F62" s="32"/>
      <c r="G62" s="32"/>
      <c r="H62" s="9"/>
      <c r="I62" s="27"/>
      <c r="J62" s="27"/>
      <c r="K62" s="27"/>
      <c r="L62" s="27"/>
      <c r="M62" s="27"/>
      <c r="N62" s="27"/>
      <c r="O62" s="27"/>
      <c r="P62" s="9"/>
      <c r="Q62" s="4"/>
      <c r="R62" s="9"/>
      <c r="S62" s="13"/>
      <c r="T62" s="9"/>
      <c r="U62" s="2"/>
      <c r="V62" s="9"/>
      <c r="W62" s="9"/>
      <c r="X62" s="9"/>
      <c r="Y62" s="9"/>
      <c r="Z62" s="9"/>
      <c r="AA62" s="9"/>
      <c r="AB62" s="9"/>
      <c r="AC62" s="9"/>
      <c r="AD62" s="9"/>
      <c r="AE62" s="59"/>
      <c r="AF62" s="28"/>
      <c r="AG62" s="29"/>
      <c r="AH62" s="29"/>
      <c r="AI62" s="28"/>
      <c r="AJ62" s="28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1:90" ht="10.35" hidden="1" customHeight="1" x14ac:dyDescent="0.15">
      <c r="A63" s="2"/>
      <c r="B63" s="32"/>
      <c r="C63" s="32"/>
      <c r="D63" s="9"/>
      <c r="E63" s="32"/>
      <c r="F63" s="32"/>
      <c r="G63" s="32"/>
      <c r="H63" s="9"/>
      <c r="I63" s="27"/>
      <c r="J63" s="27"/>
      <c r="K63" s="27"/>
      <c r="L63" s="27"/>
      <c r="M63" s="27"/>
      <c r="N63" s="27"/>
      <c r="O63" s="27"/>
      <c r="P63" s="9"/>
      <c r="Q63" s="4"/>
      <c r="R63" s="9"/>
      <c r="S63" s="13"/>
      <c r="T63" s="9"/>
      <c r="U63" s="2"/>
      <c r="V63" s="9"/>
      <c r="W63" s="9"/>
      <c r="X63" s="9"/>
      <c r="Y63" s="9"/>
      <c r="Z63" s="9"/>
      <c r="AA63" s="9"/>
      <c r="AB63" s="9"/>
      <c r="AC63" s="9"/>
      <c r="AD63" s="9"/>
      <c r="AE63" s="59"/>
      <c r="AF63" s="28"/>
      <c r="AG63" s="29"/>
      <c r="AH63" s="29"/>
      <c r="AI63" s="28"/>
      <c r="AJ63" s="28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1:90" ht="10.35" hidden="1" customHeight="1" x14ac:dyDescent="0.15">
      <c r="A64" s="2"/>
      <c r="B64" s="32"/>
      <c r="C64" s="32"/>
      <c r="D64" s="9"/>
      <c r="E64" s="32"/>
      <c r="F64" s="32"/>
      <c r="G64" s="32"/>
      <c r="H64" s="9"/>
      <c r="I64" s="27"/>
      <c r="J64" s="27"/>
      <c r="K64" s="27"/>
      <c r="L64" s="27"/>
      <c r="M64" s="27"/>
      <c r="N64" s="27"/>
      <c r="O64" s="27"/>
      <c r="P64" s="9"/>
      <c r="Q64" s="4"/>
      <c r="R64" s="9"/>
      <c r="S64" s="13"/>
      <c r="T64" s="9"/>
      <c r="U64" s="2"/>
      <c r="V64" s="9"/>
      <c r="W64" s="9"/>
      <c r="X64" s="9"/>
      <c r="Y64" s="9"/>
      <c r="Z64" s="9"/>
      <c r="AA64" s="9"/>
      <c r="AB64" s="9"/>
      <c r="AC64" s="9"/>
      <c r="AD64" s="9"/>
      <c r="AE64" s="59"/>
      <c r="AF64" s="28"/>
      <c r="AG64" s="29"/>
      <c r="AH64" s="29"/>
      <c r="AI64" s="28"/>
      <c r="AJ64" s="28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ht="10.35" hidden="1" customHeight="1" x14ac:dyDescent="0.15">
      <c r="A65" s="2"/>
      <c r="B65" s="32"/>
      <c r="C65" s="32"/>
      <c r="D65" s="9"/>
      <c r="E65" s="32"/>
      <c r="F65" s="32"/>
      <c r="G65" s="32"/>
      <c r="H65" s="9"/>
      <c r="I65" s="27"/>
      <c r="J65" s="27"/>
      <c r="K65" s="27"/>
      <c r="L65" s="27"/>
      <c r="M65" s="27"/>
      <c r="N65" s="27"/>
      <c r="O65" s="27"/>
      <c r="P65" s="9"/>
      <c r="Q65" s="4"/>
      <c r="R65" s="9"/>
      <c r="S65" s="13"/>
      <c r="T65" s="9"/>
      <c r="U65" s="2"/>
      <c r="V65" s="9"/>
      <c r="W65" s="9"/>
      <c r="X65" s="9"/>
      <c r="Y65" s="9"/>
      <c r="Z65" s="9"/>
      <c r="AA65" s="9"/>
      <c r="AB65" s="9"/>
      <c r="AC65" s="9"/>
      <c r="AD65" s="9"/>
      <c r="AE65" s="59"/>
      <c r="AF65" s="28"/>
      <c r="AG65" s="29"/>
      <c r="AH65" s="29"/>
      <c r="AI65" s="28"/>
      <c r="AJ65" s="28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ht="10.35" hidden="1" customHeight="1" x14ac:dyDescent="0.15">
      <c r="A66" s="2"/>
      <c r="B66" s="32"/>
      <c r="C66" s="32"/>
      <c r="D66" s="9"/>
      <c r="E66" s="32"/>
      <c r="F66" s="32"/>
      <c r="G66" s="32"/>
      <c r="H66" s="9"/>
      <c r="I66" s="27"/>
      <c r="J66" s="27"/>
      <c r="K66" s="27"/>
      <c r="L66" s="27"/>
      <c r="M66" s="27"/>
      <c r="N66" s="27"/>
      <c r="O66" s="27"/>
      <c r="P66" s="9"/>
      <c r="Q66" s="4"/>
      <c r="R66" s="9"/>
      <c r="S66" s="13"/>
      <c r="T66" s="9"/>
      <c r="U66" s="2"/>
      <c r="V66" s="9"/>
      <c r="W66" s="9"/>
      <c r="X66" s="9"/>
      <c r="Y66" s="9"/>
      <c r="Z66" s="9"/>
      <c r="AA66" s="9"/>
      <c r="AB66" s="9"/>
      <c r="AC66" s="9"/>
      <c r="AD66" s="9"/>
      <c r="AE66" s="59"/>
      <c r="AF66" s="28"/>
      <c r="AG66" s="29"/>
      <c r="AH66" s="29"/>
      <c r="AI66" s="28"/>
      <c r="AJ66" s="28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1:90" ht="10.35" hidden="1" customHeight="1" x14ac:dyDescent="0.15">
      <c r="A67" s="2"/>
      <c r="B67" s="32"/>
      <c r="C67" s="32"/>
      <c r="D67" s="9"/>
      <c r="E67" s="32"/>
      <c r="F67" s="32"/>
      <c r="G67" s="32"/>
      <c r="H67" s="9"/>
      <c r="I67" s="27"/>
      <c r="J67" s="27"/>
      <c r="K67" s="27"/>
      <c r="L67" s="27"/>
      <c r="M67" s="27"/>
      <c r="N67" s="27"/>
      <c r="O67" s="27"/>
      <c r="P67" s="9"/>
      <c r="Q67" s="4"/>
      <c r="R67" s="9"/>
      <c r="S67" s="13"/>
      <c r="T67" s="9"/>
      <c r="U67" s="2"/>
      <c r="V67" s="9"/>
      <c r="W67" s="9"/>
      <c r="X67" s="9"/>
      <c r="Y67" s="9"/>
      <c r="Z67" s="9"/>
      <c r="AA67" s="9"/>
      <c r="AB67" s="9"/>
      <c r="AC67" s="9"/>
      <c r="AD67" s="9"/>
      <c r="AE67" s="59"/>
      <c r="AF67" s="28"/>
      <c r="AG67" s="29"/>
      <c r="AH67" s="29"/>
      <c r="AI67" s="28"/>
      <c r="AJ67" s="28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ht="10.35" hidden="1" customHeight="1" x14ac:dyDescent="0.15">
      <c r="A68" s="2"/>
      <c r="B68" s="32"/>
      <c r="C68" s="32"/>
      <c r="D68" s="9"/>
      <c r="E68" s="32"/>
      <c r="F68" s="32"/>
      <c r="G68" s="32"/>
      <c r="H68" s="9"/>
      <c r="I68" s="27"/>
      <c r="J68" s="27"/>
      <c r="K68" s="27"/>
      <c r="L68" s="27"/>
      <c r="M68" s="27"/>
      <c r="N68" s="27"/>
      <c r="O68" s="27"/>
      <c r="P68" s="9"/>
      <c r="Q68" s="4"/>
      <c r="R68" s="9"/>
      <c r="S68" s="13"/>
      <c r="T68" s="9"/>
      <c r="U68" s="2"/>
      <c r="V68" s="9"/>
      <c r="W68" s="9"/>
      <c r="X68" s="9"/>
      <c r="Y68" s="9"/>
      <c r="Z68" s="9"/>
      <c r="AA68" s="9"/>
      <c r="AB68" s="9"/>
      <c r="AC68" s="9"/>
      <c r="AD68" s="9"/>
      <c r="AE68" s="59"/>
      <c r="AF68" s="28"/>
      <c r="AG68" s="29"/>
      <c r="AH68" s="29"/>
      <c r="AI68" s="28"/>
      <c r="AJ68" s="28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ht="10.35" hidden="1" customHeight="1" x14ac:dyDescent="0.15">
      <c r="A69" s="2"/>
      <c r="B69" s="32"/>
      <c r="C69" s="32"/>
      <c r="D69" s="9"/>
      <c r="E69" s="32"/>
      <c r="F69" s="32"/>
      <c r="G69" s="32"/>
      <c r="H69" s="9"/>
      <c r="I69" s="27"/>
      <c r="J69" s="27"/>
      <c r="K69" s="27"/>
      <c r="L69" s="27"/>
      <c r="M69" s="27"/>
      <c r="N69" s="27"/>
      <c r="O69" s="27"/>
      <c r="P69" s="9"/>
      <c r="Q69" s="4"/>
      <c r="R69" s="9"/>
      <c r="S69" s="13"/>
      <c r="T69" s="9"/>
      <c r="U69" s="2"/>
      <c r="V69" s="9"/>
      <c r="W69" s="9"/>
      <c r="X69" s="9"/>
      <c r="Y69" s="9"/>
      <c r="Z69" s="9"/>
      <c r="AA69" s="9"/>
      <c r="AB69" s="9"/>
      <c r="AC69" s="9"/>
      <c r="AD69" s="9"/>
      <c r="AE69" s="59"/>
      <c r="AF69" s="28"/>
      <c r="AG69" s="29"/>
      <c r="AH69" s="29"/>
      <c r="AI69" s="28"/>
      <c r="AJ69" s="28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1:90" ht="10.35" hidden="1" customHeight="1" x14ac:dyDescent="0.15">
      <c r="A70" s="2"/>
      <c r="B70" s="32"/>
      <c r="C70" s="32"/>
      <c r="D70" s="9"/>
      <c r="E70" s="32"/>
      <c r="F70" s="32"/>
      <c r="G70" s="32"/>
      <c r="H70" s="9"/>
      <c r="I70" s="27"/>
      <c r="J70" s="27"/>
      <c r="K70" s="27"/>
      <c r="L70" s="27"/>
      <c r="M70" s="27"/>
      <c r="N70" s="27"/>
      <c r="O70" s="27"/>
      <c r="P70" s="9"/>
      <c r="Q70" s="4"/>
      <c r="R70" s="9"/>
      <c r="S70" s="13"/>
      <c r="T70" s="9"/>
      <c r="U70" s="2"/>
      <c r="V70" s="9"/>
      <c r="W70" s="9"/>
      <c r="X70" s="9"/>
      <c r="Y70" s="9"/>
      <c r="Z70" s="9"/>
      <c r="AA70" s="9"/>
      <c r="AB70" s="9"/>
      <c r="AC70" s="9"/>
      <c r="AD70" s="9"/>
      <c r="AE70" s="59"/>
      <c r="AF70" s="28"/>
      <c r="AG70" s="29"/>
      <c r="AH70" s="29"/>
      <c r="AI70" s="28"/>
      <c r="AJ70" s="28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</row>
    <row r="71" spans="1:90" ht="10.35" hidden="1" customHeight="1" x14ac:dyDescent="0.15">
      <c r="A71" s="2"/>
      <c r="B71" s="32"/>
      <c r="C71" s="32"/>
      <c r="D71" s="9"/>
      <c r="E71" s="32"/>
      <c r="F71" s="32"/>
      <c r="G71" s="32"/>
      <c r="H71" s="9"/>
      <c r="I71" s="27"/>
      <c r="J71" s="27"/>
      <c r="K71" s="27"/>
      <c r="L71" s="27"/>
      <c r="M71" s="27"/>
      <c r="N71" s="27"/>
      <c r="O71" s="27"/>
      <c r="P71" s="9"/>
      <c r="Q71" s="4"/>
      <c r="R71" s="9"/>
      <c r="S71" s="13"/>
      <c r="T71" s="9"/>
      <c r="U71" s="2"/>
      <c r="V71" s="9"/>
      <c r="W71" s="9"/>
      <c r="X71" s="9"/>
      <c r="Y71" s="9"/>
      <c r="Z71" s="9"/>
      <c r="AA71" s="9"/>
      <c r="AB71" s="9"/>
      <c r="AC71" s="9"/>
      <c r="AD71" s="9"/>
      <c r="AE71" s="59"/>
      <c r="AF71" s="28"/>
      <c r="AG71" s="29"/>
      <c r="AH71" s="29"/>
      <c r="AI71" s="28"/>
      <c r="AJ71" s="28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ht="10.35" hidden="1" customHeight="1" x14ac:dyDescent="0.15">
      <c r="A72" s="2"/>
      <c r="B72" s="32"/>
      <c r="C72" s="32"/>
      <c r="D72" s="9"/>
      <c r="E72" s="32"/>
      <c r="F72" s="32"/>
      <c r="G72" s="32"/>
      <c r="H72" s="9"/>
      <c r="I72" s="27"/>
      <c r="J72" s="27"/>
      <c r="K72" s="27"/>
      <c r="L72" s="27"/>
      <c r="M72" s="27"/>
      <c r="N72" s="27"/>
      <c r="O72" s="27"/>
      <c r="P72" s="9"/>
      <c r="Q72" s="4"/>
      <c r="R72" s="9"/>
      <c r="S72" s="13"/>
      <c r="T72" s="9"/>
      <c r="U72" s="2"/>
      <c r="V72" s="9"/>
      <c r="W72" s="9"/>
      <c r="X72" s="9"/>
      <c r="Y72" s="9"/>
      <c r="Z72" s="9"/>
      <c r="AA72" s="9"/>
      <c r="AB72" s="9"/>
      <c r="AC72" s="9"/>
      <c r="AD72" s="9"/>
      <c r="AE72" s="59"/>
      <c r="AF72" s="28"/>
      <c r="AG72" s="29"/>
      <c r="AH72" s="29"/>
      <c r="AI72" s="28"/>
      <c r="AJ72" s="28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ht="10.35" hidden="1" customHeight="1" x14ac:dyDescent="0.15">
      <c r="A73" s="2"/>
      <c r="B73" s="32"/>
      <c r="C73" s="32"/>
      <c r="D73" s="9"/>
      <c r="E73" s="32"/>
      <c r="F73" s="32"/>
      <c r="G73" s="32"/>
      <c r="H73" s="9"/>
      <c r="I73" s="27"/>
      <c r="J73" s="27"/>
      <c r="K73" s="27"/>
      <c r="L73" s="27"/>
      <c r="M73" s="27"/>
      <c r="N73" s="27"/>
      <c r="O73" s="27"/>
      <c r="P73" s="9"/>
      <c r="Q73" s="4"/>
      <c r="R73" s="9"/>
      <c r="S73" s="13"/>
      <c r="T73" s="9"/>
      <c r="U73" s="2"/>
      <c r="V73" s="9"/>
      <c r="W73" s="9"/>
      <c r="X73" s="9"/>
      <c r="Y73" s="9"/>
      <c r="Z73" s="9"/>
      <c r="AA73" s="9"/>
      <c r="AB73" s="9"/>
      <c r="AC73" s="9"/>
      <c r="AD73" s="9"/>
      <c r="AE73" s="59"/>
      <c r="AF73" s="28"/>
      <c r="AG73" s="29"/>
      <c r="AH73" s="29"/>
      <c r="AI73" s="28"/>
      <c r="AJ73" s="28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1:90" ht="10.35" hidden="1" customHeight="1" x14ac:dyDescent="0.15">
      <c r="A74" s="2"/>
      <c r="B74" s="32"/>
      <c r="C74" s="32"/>
      <c r="D74" s="9"/>
      <c r="E74" s="32"/>
      <c r="F74" s="32"/>
      <c r="G74" s="32"/>
      <c r="H74" s="9"/>
      <c r="I74" s="27"/>
      <c r="J74" s="27"/>
      <c r="K74" s="27"/>
      <c r="L74" s="27"/>
      <c r="M74" s="27"/>
      <c r="N74" s="27"/>
      <c r="O74" s="27"/>
      <c r="P74" s="9"/>
      <c r="Q74" s="4"/>
      <c r="R74" s="9"/>
      <c r="S74" s="13"/>
      <c r="T74" s="9"/>
      <c r="U74" s="2"/>
      <c r="V74" s="9"/>
      <c r="W74" s="9"/>
      <c r="X74" s="9"/>
      <c r="Y74" s="9"/>
      <c r="Z74" s="9"/>
      <c r="AA74" s="9"/>
      <c r="AB74" s="9"/>
      <c r="AC74" s="9"/>
      <c r="AD74" s="9"/>
      <c r="AE74" s="59"/>
      <c r="AF74" s="28"/>
      <c r="AG74" s="29"/>
      <c r="AH74" s="29"/>
      <c r="AI74" s="28"/>
      <c r="AJ74" s="28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ht="10.35" hidden="1" customHeight="1" x14ac:dyDescent="0.15">
      <c r="A75" s="2"/>
      <c r="B75" s="32"/>
      <c r="C75" s="32"/>
      <c r="D75" s="9"/>
      <c r="E75" s="32"/>
      <c r="F75" s="32"/>
      <c r="G75" s="32"/>
      <c r="H75" s="9"/>
      <c r="I75" s="27"/>
      <c r="J75" s="27"/>
      <c r="K75" s="27"/>
      <c r="L75" s="27"/>
      <c r="M75" s="27"/>
      <c r="N75" s="27"/>
      <c r="O75" s="27"/>
      <c r="P75" s="9"/>
      <c r="Q75" s="4"/>
      <c r="R75" s="9"/>
      <c r="S75" s="13"/>
      <c r="T75" s="9"/>
      <c r="U75" s="2"/>
      <c r="V75" s="9"/>
      <c r="W75" s="9"/>
      <c r="X75" s="9"/>
      <c r="Y75" s="9"/>
      <c r="Z75" s="9"/>
      <c r="AA75" s="9"/>
      <c r="AB75" s="9"/>
      <c r="AC75" s="9"/>
      <c r="AD75" s="9"/>
      <c r="AE75" s="59"/>
      <c r="AF75" s="28"/>
      <c r="AG75" s="29"/>
      <c r="AH75" s="29"/>
      <c r="AI75" s="28"/>
      <c r="AJ75" s="28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1:90" ht="10.35" hidden="1" customHeight="1" x14ac:dyDescent="0.15">
      <c r="A76" s="2"/>
      <c r="B76" s="32"/>
      <c r="C76" s="32"/>
      <c r="D76" s="9"/>
      <c r="E76" s="32"/>
      <c r="F76" s="32"/>
      <c r="G76" s="32"/>
      <c r="H76" s="9"/>
      <c r="I76" s="27"/>
      <c r="J76" s="27"/>
      <c r="K76" s="27"/>
      <c r="L76" s="27"/>
      <c r="M76" s="27"/>
      <c r="N76" s="27"/>
      <c r="O76" s="27"/>
      <c r="P76" s="9"/>
      <c r="Q76" s="4"/>
      <c r="R76" s="9"/>
      <c r="S76" s="13"/>
      <c r="T76" s="9"/>
      <c r="U76" s="2"/>
      <c r="V76" s="9"/>
      <c r="W76" s="9"/>
      <c r="X76" s="9"/>
      <c r="Y76" s="9"/>
      <c r="Z76" s="9"/>
      <c r="AA76" s="9"/>
      <c r="AB76" s="9"/>
      <c r="AC76" s="9"/>
      <c r="AD76" s="9"/>
      <c r="AE76" s="59"/>
      <c r="AF76" s="28"/>
      <c r="AG76" s="29"/>
      <c r="AH76" s="29"/>
      <c r="AI76" s="28"/>
      <c r="AJ76" s="28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</row>
    <row r="77" spans="1:90" ht="10.35" hidden="1" customHeight="1" x14ac:dyDescent="0.15">
      <c r="A77" s="2"/>
      <c r="B77" s="32"/>
      <c r="C77" s="32"/>
      <c r="D77" s="9"/>
      <c r="E77" s="32"/>
      <c r="F77" s="32"/>
      <c r="G77" s="32"/>
      <c r="H77" s="9"/>
      <c r="I77" s="27"/>
      <c r="J77" s="27"/>
      <c r="K77" s="27"/>
      <c r="L77" s="27"/>
      <c r="M77" s="27"/>
      <c r="N77" s="27"/>
      <c r="O77" s="27"/>
      <c r="P77" s="9"/>
      <c r="Q77" s="4"/>
      <c r="R77" s="9"/>
      <c r="S77" s="13"/>
      <c r="T77" s="9"/>
      <c r="U77" s="2"/>
      <c r="V77" s="9"/>
      <c r="W77" s="9"/>
      <c r="X77" s="9"/>
      <c r="Y77" s="9"/>
      <c r="Z77" s="9"/>
      <c r="AA77" s="9"/>
      <c r="AB77" s="9"/>
      <c r="AC77" s="9"/>
      <c r="AD77" s="9"/>
      <c r="AE77" s="59"/>
      <c r="AF77" s="28"/>
      <c r="AG77" s="29"/>
      <c r="AH77" s="29"/>
      <c r="AI77" s="28"/>
      <c r="AJ77" s="28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1:90" ht="10.35" hidden="1" customHeight="1" x14ac:dyDescent="0.15">
      <c r="A78" s="2"/>
      <c r="B78" s="32"/>
      <c r="C78" s="32"/>
      <c r="D78" s="9"/>
      <c r="E78" s="32"/>
      <c r="F78" s="32"/>
      <c r="G78" s="32"/>
      <c r="H78" s="9"/>
      <c r="I78" s="27"/>
      <c r="J78" s="27"/>
      <c r="K78" s="27"/>
      <c r="L78" s="27"/>
      <c r="M78" s="27"/>
      <c r="N78" s="27"/>
      <c r="O78" s="27"/>
      <c r="P78" s="9"/>
      <c r="Q78" s="4"/>
      <c r="R78" s="9"/>
      <c r="S78" s="13"/>
      <c r="T78" s="9"/>
      <c r="U78" s="2"/>
      <c r="V78" s="9"/>
      <c r="W78" s="9"/>
      <c r="X78" s="9"/>
      <c r="Y78" s="9"/>
      <c r="Z78" s="9"/>
      <c r="AA78" s="9"/>
      <c r="AB78" s="9"/>
      <c r="AC78" s="9"/>
      <c r="AD78" s="9"/>
      <c r="AE78" s="59"/>
      <c r="AF78" s="28"/>
      <c r="AG78" s="29"/>
      <c r="AH78" s="29"/>
      <c r="AI78" s="28"/>
      <c r="AJ78" s="28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</row>
    <row r="79" spans="1:90" ht="10.35" hidden="1" customHeight="1" x14ac:dyDescent="0.15">
      <c r="A79" s="2"/>
      <c r="B79" s="32"/>
      <c r="C79" s="32"/>
      <c r="D79" s="9"/>
      <c r="E79" s="32"/>
      <c r="F79" s="32"/>
      <c r="G79" s="32"/>
      <c r="H79" s="9"/>
      <c r="I79" s="27"/>
      <c r="J79" s="27"/>
      <c r="K79" s="27"/>
      <c r="L79" s="27"/>
      <c r="M79" s="27"/>
      <c r="N79" s="27"/>
      <c r="O79" s="27"/>
      <c r="P79" s="9"/>
      <c r="Q79" s="4"/>
      <c r="R79" s="9"/>
      <c r="S79" s="13"/>
      <c r="T79" s="9"/>
      <c r="U79" s="2"/>
      <c r="V79" s="9"/>
      <c r="W79" s="9"/>
      <c r="X79" s="9"/>
      <c r="Y79" s="9"/>
      <c r="Z79" s="9"/>
      <c r="AA79" s="9"/>
      <c r="AB79" s="9"/>
      <c r="AC79" s="9"/>
      <c r="AD79" s="9"/>
      <c r="AE79" s="59"/>
      <c r="AF79" s="28"/>
      <c r="AG79" s="29"/>
      <c r="AH79" s="29"/>
      <c r="AI79" s="28"/>
      <c r="AJ79" s="28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</row>
    <row r="80" spans="1:90" ht="10.35" hidden="1" customHeight="1" x14ac:dyDescent="0.15">
      <c r="A80" s="2"/>
      <c r="B80" s="32"/>
      <c r="C80" s="32"/>
      <c r="D80" s="9"/>
      <c r="E80" s="32"/>
      <c r="F80" s="32"/>
      <c r="G80" s="32"/>
      <c r="H80" s="9"/>
      <c r="I80" s="27"/>
      <c r="J80" s="27"/>
      <c r="K80" s="27"/>
      <c r="L80" s="27"/>
      <c r="M80" s="27"/>
      <c r="N80" s="27"/>
      <c r="O80" s="27"/>
      <c r="P80" s="9"/>
      <c r="Q80" s="4"/>
      <c r="R80" s="9"/>
      <c r="S80" s="13"/>
      <c r="T80" s="9"/>
      <c r="U80" s="2"/>
      <c r="V80" s="9"/>
      <c r="W80" s="9"/>
      <c r="X80" s="9"/>
      <c r="Y80" s="9"/>
      <c r="Z80" s="9"/>
      <c r="AA80" s="9"/>
      <c r="AB80" s="9"/>
      <c r="AC80" s="9"/>
      <c r="AD80" s="9"/>
      <c r="AE80" s="59"/>
      <c r="AF80" s="28"/>
      <c r="AG80" s="29"/>
      <c r="AH80" s="29"/>
      <c r="AI80" s="28"/>
      <c r="AJ80" s="28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1:90" ht="10.35" hidden="1" customHeight="1" x14ac:dyDescent="0.15">
      <c r="A81" s="2"/>
      <c r="B81" s="32"/>
      <c r="C81" s="32"/>
      <c r="D81" s="9"/>
      <c r="E81" s="32"/>
      <c r="F81" s="32"/>
      <c r="G81" s="32"/>
      <c r="H81" s="9"/>
      <c r="I81" s="27"/>
      <c r="J81" s="27"/>
      <c r="K81" s="27"/>
      <c r="L81" s="27"/>
      <c r="M81" s="27"/>
      <c r="N81" s="27"/>
      <c r="O81" s="27"/>
      <c r="P81" s="9"/>
      <c r="Q81" s="4"/>
      <c r="R81" s="9"/>
      <c r="S81" s="13"/>
      <c r="T81" s="9"/>
      <c r="U81" s="2"/>
      <c r="V81" s="9"/>
      <c r="W81" s="9"/>
      <c r="X81" s="9"/>
      <c r="Y81" s="9"/>
      <c r="Z81" s="9"/>
      <c r="AA81" s="9"/>
      <c r="AB81" s="9"/>
      <c r="AC81" s="9"/>
      <c r="AD81" s="9"/>
      <c r="AE81" s="59"/>
      <c r="AF81" s="28"/>
      <c r="AG81" s="29"/>
      <c r="AH81" s="29"/>
      <c r="AI81" s="28"/>
      <c r="AJ81" s="28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</row>
    <row r="82" spans="1:90" ht="10.35" hidden="1" customHeight="1" x14ac:dyDescent="0.15">
      <c r="A82" s="2"/>
      <c r="B82" s="32"/>
      <c r="C82" s="32"/>
      <c r="D82" s="9"/>
      <c r="E82" s="32"/>
      <c r="F82" s="32"/>
      <c r="G82" s="32"/>
      <c r="H82" s="9"/>
      <c r="I82" s="27"/>
      <c r="J82" s="27"/>
      <c r="K82" s="27"/>
      <c r="L82" s="27"/>
      <c r="M82" s="27"/>
      <c r="N82" s="27"/>
      <c r="O82" s="27"/>
      <c r="P82" s="9"/>
      <c r="Q82" s="4"/>
      <c r="R82" s="9"/>
      <c r="S82" s="13"/>
      <c r="T82" s="9"/>
      <c r="U82" s="2"/>
      <c r="V82" s="9"/>
      <c r="W82" s="9"/>
      <c r="X82" s="9"/>
      <c r="Y82" s="9"/>
      <c r="Z82" s="9"/>
      <c r="AA82" s="9"/>
      <c r="AB82" s="9"/>
      <c r="AC82" s="9"/>
      <c r="AD82" s="9"/>
      <c r="AE82" s="59"/>
      <c r="AF82" s="28"/>
      <c r="AG82" s="29"/>
      <c r="AH82" s="29"/>
      <c r="AI82" s="28"/>
      <c r="AJ82" s="28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</row>
    <row r="83" spans="1:90" ht="10.35" hidden="1" customHeight="1" x14ac:dyDescent="0.15">
      <c r="A83" s="2"/>
      <c r="B83" s="32"/>
      <c r="C83" s="32"/>
      <c r="D83" s="9"/>
      <c r="E83" s="32"/>
      <c r="F83" s="32"/>
      <c r="G83" s="32"/>
      <c r="H83" s="9"/>
      <c r="I83" s="27"/>
      <c r="J83" s="27"/>
      <c r="K83" s="27"/>
      <c r="L83" s="27"/>
      <c r="M83" s="27"/>
      <c r="N83" s="27"/>
      <c r="O83" s="27"/>
      <c r="P83" s="9"/>
      <c r="Q83" s="4"/>
      <c r="R83" s="9"/>
      <c r="S83" s="13"/>
      <c r="T83" s="9"/>
      <c r="U83" s="2"/>
      <c r="V83" s="9"/>
      <c r="W83" s="9"/>
      <c r="X83" s="9"/>
      <c r="Y83" s="9"/>
      <c r="Z83" s="9"/>
      <c r="AA83" s="9"/>
      <c r="AB83" s="9"/>
      <c r="AC83" s="9"/>
      <c r="AD83" s="9"/>
      <c r="AE83" s="59"/>
      <c r="AF83" s="28"/>
      <c r="AG83" s="29"/>
      <c r="AH83" s="29"/>
      <c r="AI83" s="28"/>
      <c r="AJ83" s="28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</row>
    <row r="84" spans="1:90" ht="10.35" hidden="1" customHeight="1" x14ac:dyDescent="0.15">
      <c r="A84" s="2"/>
      <c r="B84" s="32"/>
      <c r="C84" s="32"/>
      <c r="D84" s="9"/>
      <c r="E84" s="32"/>
      <c r="F84" s="32"/>
      <c r="G84" s="32"/>
      <c r="H84" s="9"/>
      <c r="I84" s="27"/>
      <c r="J84" s="27"/>
      <c r="K84" s="27"/>
      <c r="L84" s="27"/>
      <c r="M84" s="27"/>
      <c r="N84" s="27"/>
      <c r="O84" s="27"/>
      <c r="P84" s="9"/>
      <c r="Q84" s="4"/>
      <c r="R84" s="9"/>
      <c r="S84" s="13"/>
      <c r="T84" s="9"/>
      <c r="U84" s="2"/>
      <c r="V84" s="9"/>
      <c r="W84" s="9"/>
      <c r="X84" s="9"/>
      <c r="Y84" s="9"/>
      <c r="Z84" s="9"/>
      <c r="AA84" s="9"/>
      <c r="AB84" s="9"/>
      <c r="AC84" s="9"/>
      <c r="AD84" s="9"/>
      <c r="AE84" s="59"/>
      <c r="AF84" s="28"/>
      <c r="AG84" s="29"/>
      <c r="AH84" s="29"/>
      <c r="AI84" s="28"/>
      <c r="AJ84" s="28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</row>
    <row r="85" spans="1:90" ht="10.35" hidden="1" customHeight="1" x14ac:dyDescent="0.15">
      <c r="A85" s="2"/>
      <c r="B85" s="32"/>
      <c r="C85" s="32"/>
      <c r="D85" s="9"/>
      <c r="E85" s="32"/>
      <c r="F85" s="32"/>
      <c r="G85" s="32"/>
      <c r="H85" s="9"/>
      <c r="I85" s="27"/>
      <c r="J85" s="27"/>
      <c r="K85" s="27"/>
      <c r="L85" s="27"/>
      <c r="M85" s="27"/>
      <c r="N85" s="27"/>
      <c r="O85" s="27"/>
      <c r="P85" s="9"/>
      <c r="Q85" s="4"/>
      <c r="R85" s="9"/>
      <c r="S85" s="13"/>
      <c r="T85" s="9"/>
      <c r="U85" s="2"/>
      <c r="V85" s="9"/>
      <c r="W85" s="9"/>
      <c r="X85" s="9"/>
      <c r="Y85" s="9"/>
      <c r="Z85" s="9"/>
      <c r="AA85" s="9"/>
      <c r="AB85" s="9"/>
      <c r="AC85" s="9"/>
      <c r="AD85" s="9"/>
      <c r="AE85" s="59"/>
      <c r="AF85" s="28"/>
      <c r="AG85" s="29"/>
      <c r="AH85" s="29"/>
      <c r="AI85" s="28"/>
      <c r="AJ85" s="28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</row>
    <row r="86" spans="1:90" ht="10.35" hidden="1" customHeight="1" x14ac:dyDescent="0.15">
      <c r="A86" s="2"/>
      <c r="B86" s="32"/>
      <c r="C86" s="32"/>
      <c r="D86" s="9"/>
      <c r="E86" s="32"/>
      <c r="F86" s="32"/>
      <c r="G86" s="32"/>
      <c r="H86" s="9"/>
      <c r="I86" s="27"/>
      <c r="J86" s="27"/>
      <c r="K86" s="27"/>
      <c r="L86" s="27"/>
      <c r="M86" s="27"/>
      <c r="N86" s="27"/>
      <c r="O86" s="27"/>
      <c r="P86" s="9"/>
      <c r="Q86" s="4"/>
      <c r="R86" s="9"/>
      <c r="S86" s="13"/>
      <c r="T86" s="9"/>
      <c r="U86" s="2"/>
      <c r="V86" s="9"/>
      <c r="W86" s="9"/>
      <c r="X86" s="9"/>
      <c r="Y86" s="9"/>
      <c r="Z86" s="9"/>
      <c r="AA86" s="9"/>
      <c r="AB86" s="9"/>
      <c r="AC86" s="9"/>
      <c r="AD86" s="9"/>
      <c r="AE86" s="59"/>
      <c r="AF86" s="28"/>
      <c r="AG86" s="29"/>
      <c r="AH86" s="29"/>
      <c r="AI86" s="28"/>
      <c r="AJ86" s="28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</row>
    <row r="87" spans="1:90" ht="10.35" hidden="1" customHeight="1" x14ac:dyDescent="0.15">
      <c r="A87" s="2"/>
      <c r="B87" s="32"/>
      <c r="C87" s="32"/>
      <c r="D87" s="9"/>
      <c r="E87" s="32"/>
      <c r="F87" s="32"/>
      <c r="G87" s="32"/>
      <c r="H87" s="9"/>
      <c r="I87" s="27"/>
      <c r="J87" s="27"/>
      <c r="K87" s="27"/>
      <c r="L87" s="27"/>
      <c r="M87" s="27"/>
      <c r="N87" s="27"/>
      <c r="O87" s="27"/>
      <c r="P87" s="9"/>
      <c r="Q87" s="4"/>
      <c r="R87" s="9"/>
      <c r="S87" s="13"/>
      <c r="T87" s="9"/>
      <c r="U87" s="2"/>
      <c r="V87" s="9"/>
      <c r="W87" s="9"/>
      <c r="X87" s="9"/>
      <c r="Y87" s="9"/>
      <c r="Z87" s="9"/>
      <c r="AA87" s="9"/>
      <c r="AB87" s="9"/>
      <c r="AC87" s="9"/>
      <c r="AD87" s="9"/>
      <c r="AE87" s="59"/>
      <c r="AF87" s="28"/>
      <c r="AG87" s="29"/>
      <c r="AH87" s="29"/>
      <c r="AI87" s="28"/>
      <c r="AJ87" s="28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</row>
    <row r="88" spans="1:90" ht="10.35" hidden="1" customHeight="1" x14ac:dyDescent="0.15">
      <c r="A88" s="2"/>
      <c r="B88" s="32"/>
      <c r="C88" s="32"/>
      <c r="D88" s="9"/>
      <c r="E88" s="32"/>
      <c r="F88" s="32"/>
      <c r="G88" s="32"/>
      <c r="H88" s="9"/>
      <c r="I88" s="27"/>
      <c r="J88" s="27"/>
      <c r="K88" s="27"/>
      <c r="L88" s="27"/>
      <c r="M88" s="27"/>
      <c r="N88" s="27"/>
      <c r="O88" s="27"/>
      <c r="P88" s="9"/>
      <c r="Q88" s="4"/>
      <c r="R88" s="9"/>
      <c r="S88" s="13"/>
      <c r="T88" s="9"/>
      <c r="U88" s="2"/>
      <c r="V88" s="9"/>
      <c r="W88" s="9"/>
      <c r="X88" s="9"/>
      <c r="Y88" s="9"/>
      <c r="Z88" s="9"/>
      <c r="AA88" s="9"/>
      <c r="AB88" s="9"/>
      <c r="AC88" s="9"/>
      <c r="AD88" s="9"/>
      <c r="AE88" s="59"/>
      <c r="AF88" s="28"/>
      <c r="AG88" s="29"/>
      <c r="AH88" s="29"/>
      <c r="AI88" s="28"/>
      <c r="AJ88" s="28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</row>
    <row r="89" spans="1:90" ht="10.35" hidden="1" customHeight="1" x14ac:dyDescent="0.15">
      <c r="A89" s="2"/>
      <c r="B89" s="32"/>
      <c r="C89" s="32"/>
      <c r="D89" s="9"/>
      <c r="E89" s="32"/>
      <c r="F89" s="32"/>
      <c r="G89" s="32"/>
      <c r="H89" s="9"/>
      <c r="I89" s="27"/>
      <c r="J89" s="27"/>
      <c r="K89" s="27"/>
      <c r="L89" s="27"/>
      <c r="M89" s="27"/>
      <c r="N89" s="27"/>
      <c r="O89" s="27"/>
      <c r="P89" s="9"/>
      <c r="Q89" s="4"/>
      <c r="R89" s="9"/>
      <c r="S89" s="13"/>
      <c r="T89" s="9"/>
      <c r="U89" s="2"/>
      <c r="V89" s="9"/>
      <c r="W89" s="9"/>
      <c r="X89" s="9"/>
      <c r="Y89" s="9"/>
      <c r="Z89" s="9"/>
      <c r="AA89" s="9"/>
      <c r="AB89" s="9"/>
      <c r="AC89" s="9"/>
      <c r="AD89" s="9"/>
      <c r="AE89" s="59"/>
      <c r="AF89" s="28"/>
      <c r="AG89" s="29"/>
      <c r="AH89" s="29"/>
      <c r="AI89" s="28"/>
      <c r="AJ89" s="28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</row>
    <row r="90" spans="1:90" ht="10.35" hidden="1" customHeight="1" x14ac:dyDescent="0.15">
      <c r="A90" s="2"/>
      <c r="B90" s="32"/>
      <c r="C90" s="32"/>
      <c r="D90" s="9"/>
      <c r="E90" s="32"/>
      <c r="F90" s="32"/>
      <c r="G90" s="32"/>
      <c r="H90" s="9"/>
      <c r="I90" s="27"/>
      <c r="J90" s="27"/>
      <c r="K90" s="27"/>
      <c r="L90" s="27"/>
      <c r="M90" s="27"/>
      <c r="N90" s="27"/>
      <c r="O90" s="27"/>
      <c r="P90" s="9"/>
      <c r="Q90" s="4"/>
      <c r="R90" s="9"/>
      <c r="S90" s="13"/>
      <c r="T90" s="9"/>
      <c r="U90" s="2"/>
      <c r="V90" s="9"/>
      <c r="W90" s="9"/>
      <c r="X90" s="9"/>
      <c r="Y90" s="9"/>
      <c r="Z90" s="9"/>
      <c r="AA90" s="9"/>
      <c r="AB90" s="9"/>
      <c r="AC90" s="9"/>
      <c r="AD90" s="9"/>
      <c r="AE90" s="59"/>
      <c r="AF90" s="28"/>
      <c r="AG90" s="29"/>
      <c r="AH90" s="29"/>
      <c r="AI90" s="28"/>
      <c r="AJ90" s="28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</row>
    <row r="91" spans="1:90" ht="10.35" hidden="1" customHeight="1" x14ac:dyDescent="0.15">
      <c r="A91" s="2"/>
      <c r="B91" s="32"/>
      <c r="C91" s="32"/>
      <c r="D91" s="9"/>
      <c r="E91" s="32"/>
      <c r="F91" s="32"/>
      <c r="G91" s="32"/>
      <c r="H91" s="9"/>
      <c r="I91" s="27"/>
      <c r="J91" s="27"/>
      <c r="K91" s="27"/>
      <c r="L91" s="27"/>
      <c r="M91" s="27"/>
      <c r="N91" s="27"/>
      <c r="O91" s="27"/>
      <c r="P91" s="9"/>
      <c r="Q91" s="4"/>
      <c r="R91" s="9"/>
      <c r="S91" s="13"/>
      <c r="T91" s="9"/>
      <c r="U91" s="2"/>
      <c r="V91" s="9"/>
      <c r="W91" s="9"/>
      <c r="X91" s="9"/>
      <c r="Y91" s="9"/>
      <c r="Z91" s="9"/>
      <c r="AA91" s="9"/>
      <c r="AB91" s="9"/>
      <c r="AC91" s="9"/>
      <c r="AD91" s="9"/>
      <c r="AE91" s="59"/>
      <c r="AF91" s="28"/>
      <c r="AG91" s="29"/>
      <c r="AH91" s="29"/>
      <c r="AI91" s="28"/>
      <c r="AJ91" s="28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</row>
    <row r="92" spans="1:90" ht="10.35" hidden="1" customHeight="1" x14ac:dyDescent="0.15">
      <c r="A92" s="2"/>
      <c r="B92" s="32"/>
      <c r="C92" s="32"/>
      <c r="D92" s="9"/>
      <c r="E92" s="32"/>
      <c r="F92" s="32"/>
      <c r="G92" s="32"/>
      <c r="H92" s="9"/>
      <c r="I92" s="27"/>
      <c r="J92" s="27"/>
      <c r="K92" s="27"/>
      <c r="L92" s="27"/>
      <c r="M92" s="27"/>
      <c r="N92" s="27"/>
      <c r="O92" s="27"/>
      <c r="P92" s="9"/>
      <c r="Q92" s="4"/>
      <c r="R92" s="9"/>
      <c r="S92" s="13"/>
      <c r="T92" s="9"/>
      <c r="U92" s="2"/>
      <c r="V92" s="9"/>
      <c r="W92" s="9"/>
      <c r="X92" s="9"/>
      <c r="Y92" s="9"/>
      <c r="Z92" s="9"/>
      <c r="AA92" s="9"/>
      <c r="AB92" s="9"/>
      <c r="AC92" s="9"/>
      <c r="AD92" s="9"/>
      <c r="AE92" s="59"/>
      <c r="AF92" s="28"/>
      <c r="AG92" s="29"/>
      <c r="AH92" s="29"/>
      <c r="AI92" s="28"/>
      <c r="AJ92" s="28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</row>
    <row r="93" spans="1:90" ht="10.35" hidden="1" customHeight="1" x14ac:dyDescent="0.15">
      <c r="A93" s="2"/>
      <c r="B93" s="32"/>
      <c r="C93" s="32"/>
      <c r="D93" s="9"/>
      <c r="E93" s="32"/>
      <c r="F93" s="32"/>
      <c r="G93" s="32"/>
      <c r="H93" s="9"/>
      <c r="I93" s="27"/>
      <c r="J93" s="27"/>
      <c r="K93" s="27"/>
      <c r="L93" s="27"/>
      <c r="M93" s="27"/>
      <c r="N93" s="27"/>
      <c r="O93" s="27"/>
      <c r="P93" s="9"/>
      <c r="Q93" s="4"/>
      <c r="R93" s="9"/>
      <c r="S93" s="13"/>
      <c r="T93" s="9"/>
      <c r="U93" s="2"/>
      <c r="V93" s="9"/>
      <c r="W93" s="9"/>
      <c r="X93" s="9"/>
      <c r="Y93" s="9"/>
      <c r="Z93" s="9"/>
      <c r="AA93" s="9"/>
      <c r="AB93" s="9"/>
      <c r="AC93" s="9"/>
      <c r="AD93" s="9"/>
      <c r="AE93" s="59"/>
      <c r="AF93" s="28"/>
      <c r="AG93" s="29"/>
      <c r="AH93" s="29"/>
      <c r="AI93" s="28"/>
      <c r="AJ93" s="28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</row>
    <row r="94" spans="1:90" ht="10.35" hidden="1" customHeight="1" x14ac:dyDescent="0.15">
      <c r="A94" s="2"/>
      <c r="B94" s="32"/>
      <c r="C94" s="32"/>
      <c r="D94" s="9"/>
      <c r="E94" s="32"/>
      <c r="F94" s="32"/>
      <c r="G94" s="32"/>
      <c r="H94" s="9"/>
      <c r="I94" s="27"/>
      <c r="J94" s="27"/>
      <c r="K94" s="27"/>
      <c r="L94" s="27"/>
      <c r="M94" s="27"/>
      <c r="N94" s="27"/>
      <c r="O94" s="27"/>
      <c r="P94" s="9"/>
      <c r="Q94" s="4"/>
      <c r="R94" s="9"/>
      <c r="S94" s="13"/>
      <c r="T94" s="9"/>
      <c r="U94" s="2"/>
      <c r="V94" s="9"/>
      <c r="W94" s="9"/>
      <c r="X94" s="9"/>
      <c r="Y94" s="9"/>
      <c r="Z94" s="9"/>
      <c r="AA94" s="9"/>
      <c r="AB94" s="9"/>
      <c r="AC94" s="9"/>
      <c r="AD94" s="9"/>
      <c r="AE94" s="59"/>
      <c r="AF94" s="28"/>
      <c r="AG94" s="29"/>
      <c r="AH94" s="29"/>
      <c r="AI94" s="28"/>
      <c r="AJ94" s="28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</row>
    <row r="95" spans="1:90" ht="10.35" hidden="1" customHeight="1" x14ac:dyDescent="0.15">
      <c r="A95" s="2"/>
      <c r="B95" s="32"/>
      <c r="C95" s="32"/>
      <c r="D95" s="9"/>
      <c r="E95" s="32"/>
      <c r="F95" s="32"/>
      <c r="G95" s="32"/>
      <c r="H95" s="9"/>
      <c r="I95" s="27"/>
      <c r="J95" s="27"/>
      <c r="K95" s="27"/>
      <c r="L95" s="27"/>
      <c r="M95" s="27"/>
      <c r="N95" s="27"/>
      <c r="O95" s="27"/>
      <c r="P95" s="9"/>
      <c r="Q95" s="4"/>
      <c r="R95" s="9"/>
      <c r="S95" s="13"/>
      <c r="T95" s="9"/>
      <c r="U95" s="2"/>
      <c r="V95" s="9"/>
      <c r="W95" s="9"/>
      <c r="X95" s="9"/>
      <c r="Y95" s="9"/>
      <c r="Z95" s="9"/>
      <c r="AA95" s="9"/>
      <c r="AB95" s="9"/>
      <c r="AC95" s="9"/>
      <c r="AD95" s="9"/>
      <c r="AE95" s="59"/>
      <c r="AF95" s="28"/>
      <c r="AG95" s="29"/>
      <c r="AH95" s="29"/>
      <c r="AI95" s="28"/>
      <c r="AJ95" s="28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</row>
    <row r="96" spans="1:90" ht="10.35" hidden="1" customHeight="1" x14ac:dyDescent="0.15">
      <c r="A96" s="2"/>
      <c r="B96" s="32"/>
      <c r="C96" s="32"/>
      <c r="D96" s="9"/>
      <c r="E96" s="32"/>
      <c r="F96" s="32"/>
      <c r="G96" s="32"/>
      <c r="H96" s="9"/>
      <c r="I96" s="27"/>
      <c r="J96" s="27"/>
      <c r="K96" s="27"/>
      <c r="L96" s="27"/>
      <c r="M96" s="27"/>
      <c r="N96" s="27"/>
      <c r="O96" s="27"/>
      <c r="P96" s="9"/>
      <c r="Q96" s="4"/>
      <c r="R96" s="9"/>
      <c r="S96" s="13"/>
      <c r="T96" s="9"/>
      <c r="U96" s="2"/>
      <c r="V96" s="9"/>
      <c r="W96" s="9"/>
      <c r="X96" s="9"/>
      <c r="Y96" s="9"/>
      <c r="Z96" s="9"/>
      <c r="AA96" s="9"/>
      <c r="AB96" s="9"/>
      <c r="AC96" s="9"/>
      <c r="AD96" s="9"/>
      <c r="AE96" s="59"/>
      <c r="AF96" s="28"/>
      <c r="AG96" s="29"/>
      <c r="AH96" s="29"/>
      <c r="AI96" s="28"/>
      <c r="AJ96" s="28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</row>
    <row r="97" spans="1:90" ht="10.35" hidden="1" customHeight="1" x14ac:dyDescent="0.15">
      <c r="A97" s="2"/>
      <c r="B97" s="32"/>
      <c r="C97" s="32"/>
      <c r="D97" s="9"/>
      <c r="E97" s="32"/>
      <c r="F97" s="32"/>
      <c r="G97" s="32"/>
      <c r="H97" s="9"/>
      <c r="I97" s="27"/>
      <c r="J97" s="27"/>
      <c r="K97" s="27"/>
      <c r="L97" s="27"/>
      <c r="M97" s="27"/>
      <c r="N97" s="27"/>
      <c r="O97" s="27"/>
      <c r="P97" s="9"/>
      <c r="Q97" s="4"/>
      <c r="R97" s="9"/>
      <c r="S97" s="13"/>
      <c r="T97" s="9"/>
      <c r="U97" s="2"/>
      <c r="V97" s="9"/>
      <c r="W97" s="9"/>
      <c r="X97" s="9"/>
      <c r="Y97" s="9"/>
      <c r="Z97" s="9"/>
      <c r="AA97" s="9"/>
      <c r="AB97" s="9"/>
      <c r="AC97" s="9"/>
      <c r="AD97" s="9"/>
      <c r="AE97" s="59"/>
      <c r="AF97" s="28"/>
      <c r="AG97" s="29"/>
      <c r="AH97" s="29"/>
      <c r="AI97" s="28"/>
      <c r="AJ97" s="28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</row>
    <row r="98" spans="1:90" ht="10.35" hidden="1" customHeight="1" x14ac:dyDescent="0.15">
      <c r="A98" s="2"/>
      <c r="B98" s="32"/>
      <c r="C98" s="32"/>
      <c r="D98" s="9"/>
      <c r="E98" s="32"/>
      <c r="F98" s="32"/>
      <c r="G98" s="32"/>
      <c r="H98" s="9"/>
      <c r="I98" s="27"/>
      <c r="J98" s="27"/>
      <c r="K98" s="27"/>
      <c r="L98" s="27"/>
      <c r="M98" s="27"/>
      <c r="N98" s="27"/>
      <c r="O98" s="27"/>
      <c r="P98" s="9"/>
      <c r="Q98" s="4"/>
      <c r="R98" s="9"/>
      <c r="S98" s="13"/>
      <c r="T98" s="9"/>
      <c r="U98" s="2"/>
      <c r="V98" s="9"/>
      <c r="W98" s="9"/>
      <c r="X98" s="9"/>
      <c r="Y98" s="9"/>
      <c r="Z98" s="9"/>
      <c r="AA98" s="9"/>
      <c r="AB98" s="9"/>
      <c r="AC98" s="9"/>
      <c r="AD98" s="9"/>
      <c r="AE98" s="59"/>
      <c r="AF98" s="28"/>
      <c r="AG98" s="29"/>
      <c r="AH98" s="29"/>
      <c r="AI98" s="28"/>
      <c r="AJ98" s="28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</row>
    <row r="99" spans="1:90" ht="10.35" hidden="1" customHeight="1" x14ac:dyDescent="0.15">
      <c r="A99" s="2"/>
      <c r="B99" s="32"/>
      <c r="C99" s="32"/>
      <c r="D99" s="9"/>
      <c r="E99" s="32"/>
      <c r="F99" s="32"/>
      <c r="G99" s="32"/>
      <c r="H99" s="9"/>
      <c r="I99" s="27"/>
      <c r="J99" s="27"/>
      <c r="K99" s="27"/>
      <c r="L99" s="27"/>
      <c r="M99" s="27"/>
      <c r="N99" s="27"/>
      <c r="O99" s="27"/>
      <c r="P99" s="9"/>
      <c r="Q99" s="4"/>
      <c r="R99" s="9"/>
      <c r="S99" s="13"/>
      <c r="T99" s="9"/>
      <c r="U99" s="2"/>
      <c r="V99" s="9"/>
      <c r="W99" s="9"/>
      <c r="X99" s="9"/>
      <c r="Y99" s="9"/>
      <c r="Z99" s="9"/>
      <c r="AA99" s="9"/>
      <c r="AB99" s="9"/>
      <c r="AC99" s="9"/>
      <c r="AD99" s="9"/>
      <c r="AE99" s="59"/>
      <c r="AF99" s="28"/>
      <c r="AG99" s="29"/>
      <c r="AH99" s="29"/>
      <c r="AI99" s="28"/>
      <c r="AJ99" s="28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</row>
    <row r="100" spans="1:90" ht="10.35" hidden="1" customHeight="1" x14ac:dyDescent="0.15">
      <c r="A100" s="2"/>
      <c r="B100" s="32"/>
      <c r="C100" s="32"/>
      <c r="D100" s="9"/>
      <c r="E100" s="32"/>
      <c r="F100" s="32"/>
      <c r="G100" s="32"/>
      <c r="H100" s="9"/>
      <c r="I100" s="27"/>
      <c r="J100" s="27"/>
      <c r="K100" s="27"/>
      <c r="L100" s="27"/>
      <c r="M100" s="27"/>
      <c r="N100" s="27"/>
      <c r="O100" s="27"/>
      <c r="P100" s="9"/>
      <c r="Q100" s="4"/>
      <c r="R100" s="9"/>
      <c r="S100" s="13"/>
      <c r="T100" s="9"/>
      <c r="U100" s="2"/>
      <c r="V100" s="9"/>
      <c r="W100" s="9"/>
      <c r="X100" s="9"/>
      <c r="Y100" s="9"/>
      <c r="Z100" s="9"/>
      <c r="AA100" s="9"/>
      <c r="AB100" s="9"/>
      <c r="AC100" s="9"/>
      <c r="AD100" s="9"/>
      <c r="AE100" s="59"/>
      <c r="AF100" s="28"/>
      <c r="AG100" s="29"/>
      <c r="AH100" s="29"/>
      <c r="AI100" s="28"/>
      <c r="AJ100" s="28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</row>
    <row r="101" spans="1:90" ht="10.35" hidden="1" customHeight="1" x14ac:dyDescent="0.15">
      <c r="A101" s="2"/>
      <c r="B101" s="32"/>
      <c r="C101" s="32"/>
      <c r="D101" s="9"/>
      <c r="E101" s="32"/>
      <c r="F101" s="32"/>
      <c r="G101" s="32"/>
      <c r="H101" s="9"/>
      <c r="I101" s="27"/>
      <c r="J101" s="27"/>
      <c r="K101" s="27"/>
      <c r="L101" s="27"/>
      <c r="M101" s="27"/>
      <c r="N101" s="27"/>
      <c r="O101" s="27"/>
      <c r="P101" s="9"/>
      <c r="Q101" s="4"/>
      <c r="R101" s="9"/>
      <c r="S101" s="13"/>
      <c r="T101" s="9"/>
      <c r="U101" s="2"/>
      <c r="V101" s="9"/>
      <c r="W101" s="9"/>
      <c r="X101" s="9"/>
      <c r="Y101" s="9"/>
      <c r="Z101" s="9"/>
      <c r="AA101" s="9"/>
      <c r="AB101" s="9"/>
      <c r="AC101" s="9"/>
      <c r="AD101" s="9"/>
      <c r="AE101" s="59"/>
      <c r="AF101" s="28"/>
      <c r="AG101" s="29"/>
      <c r="AH101" s="29"/>
      <c r="AI101" s="28"/>
      <c r="AJ101" s="28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</row>
    <row r="102" spans="1:90" ht="10.35" hidden="1" customHeight="1" x14ac:dyDescent="0.15">
      <c r="A102" s="2"/>
      <c r="B102" s="32"/>
      <c r="C102" s="32"/>
      <c r="D102" s="9"/>
      <c r="E102" s="32"/>
      <c r="F102" s="32"/>
      <c r="G102" s="32"/>
      <c r="H102" s="9"/>
      <c r="I102" s="27"/>
      <c r="J102" s="27"/>
      <c r="K102" s="27"/>
      <c r="L102" s="27"/>
      <c r="M102" s="27"/>
      <c r="N102" s="27"/>
      <c r="O102" s="27"/>
      <c r="P102" s="9"/>
      <c r="Q102" s="4"/>
      <c r="R102" s="9"/>
      <c r="S102" s="13"/>
      <c r="T102" s="9"/>
      <c r="U102" s="2"/>
      <c r="V102" s="9"/>
      <c r="W102" s="9"/>
      <c r="X102" s="9"/>
      <c r="Y102" s="9"/>
      <c r="Z102" s="9"/>
      <c r="AA102" s="9"/>
      <c r="AB102" s="9"/>
      <c r="AC102" s="9"/>
      <c r="AD102" s="9"/>
      <c r="AE102" s="59"/>
      <c r="AF102" s="28"/>
      <c r="AG102" s="29"/>
      <c r="AH102" s="29"/>
      <c r="AI102" s="28"/>
      <c r="AJ102" s="28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</row>
    <row r="103" spans="1:90" ht="10.35" hidden="1" customHeight="1" x14ac:dyDescent="0.15">
      <c r="A103" s="2"/>
      <c r="B103" s="32"/>
      <c r="C103" s="32"/>
      <c r="D103" s="9"/>
      <c r="E103" s="32"/>
      <c r="F103" s="32"/>
      <c r="G103" s="32"/>
      <c r="H103" s="9"/>
      <c r="I103" s="27"/>
      <c r="J103" s="27"/>
      <c r="K103" s="27"/>
      <c r="L103" s="27"/>
      <c r="M103" s="27"/>
      <c r="N103" s="27"/>
      <c r="O103" s="27"/>
      <c r="P103" s="9"/>
      <c r="Q103" s="4"/>
      <c r="R103" s="9"/>
      <c r="S103" s="13"/>
      <c r="T103" s="9"/>
      <c r="U103" s="2"/>
      <c r="V103" s="9"/>
      <c r="W103" s="9"/>
      <c r="X103" s="9"/>
      <c r="Y103" s="9"/>
      <c r="Z103" s="9"/>
      <c r="AA103" s="9"/>
      <c r="AB103" s="9"/>
      <c r="AC103" s="9"/>
      <c r="AD103" s="9"/>
      <c r="AE103" s="59"/>
      <c r="AF103" s="28"/>
      <c r="AG103" s="29"/>
      <c r="AH103" s="29"/>
      <c r="AI103" s="28"/>
      <c r="AJ103" s="28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</row>
    <row r="104" spans="1:90" ht="10.35" hidden="1" customHeight="1" x14ac:dyDescent="0.15">
      <c r="A104" s="2"/>
      <c r="B104" s="32"/>
      <c r="C104" s="32"/>
      <c r="D104" s="9"/>
      <c r="E104" s="32"/>
      <c r="F104" s="32"/>
      <c r="G104" s="32"/>
      <c r="H104" s="9"/>
      <c r="I104" s="27"/>
      <c r="J104" s="27"/>
      <c r="K104" s="27"/>
      <c r="L104" s="27"/>
      <c r="M104" s="27"/>
      <c r="N104" s="27"/>
      <c r="O104" s="27"/>
      <c r="P104" s="9"/>
      <c r="Q104" s="4"/>
      <c r="R104" s="9"/>
      <c r="S104" s="13"/>
      <c r="T104" s="9"/>
      <c r="U104" s="2"/>
      <c r="V104" s="9"/>
      <c r="W104" s="9"/>
      <c r="X104" s="9"/>
      <c r="Y104" s="9"/>
      <c r="Z104" s="9"/>
      <c r="AA104" s="9"/>
      <c r="AB104" s="9"/>
      <c r="AC104" s="9"/>
      <c r="AD104" s="9"/>
      <c r="AE104" s="59"/>
      <c r="AF104" s="28"/>
      <c r="AG104" s="29"/>
      <c r="AH104" s="29"/>
      <c r="AI104" s="28"/>
      <c r="AJ104" s="28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</row>
    <row r="105" spans="1:90" ht="10.35" hidden="1" customHeight="1" x14ac:dyDescent="0.15">
      <c r="A105" s="2"/>
      <c r="B105" s="32"/>
      <c r="C105" s="32"/>
      <c r="D105" s="9"/>
      <c r="E105" s="32"/>
      <c r="F105" s="32"/>
      <c r="G105" s="32"/>
      <c r="H105" s="9"/>
      <c r="I105" s="27"/>
      <c r="J105" s="27"/>
      <c r="K105" s="27"/>
      <c r="L105" s="27"/>
      <c r="M105" s="27"/>
      <c r="N105" s="27"/>
      <c r="O105" s="27"/>
      <c r="P105" s="9"/>
      <c r="Q105" s="4"/>
      <c r="R105" s="9"/>
      <c r="S105" s="13"/>
      <c r="T105" s="9"/>
      <c r="U105" s="2"/>
      <c r="V105" s="9"/>
      <c r="W105" s="9"/>
      <c r="X105" s="9"/>
      <c r="Y105" s="9"/>
      <c r="Z105" s="9"/>
      <c r="AA105" s="9"/>
      <c r="AB105" s="9"/>
      <c r="AC105" s="9"/>
      <c r="AD105" s="9"/>
      <c r="AE105" s="59"/>
      <c r="AF105" s="28"/>
      <c r="AG105" s="29"/>
      <c r="AH105" s="29"/>
      <c r="AI105" s="28"/>
      <c r="AJ105" s="28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</row>
    <row r="106" spans="1:90" ht="10.35" hidden="1" customHeight="1" x14ac:dyDescent="0.15">
      <c r="A106" s="2"/>
      <c r="B106" s="32"/>
      <c r="C106" s="32"/>
      <c r="D106" s="9"/>
      <c r="E106" s="32"/>
      <c r="F106" s="32"/>
      <c r="G106" s="32"/>
      <c r="H106" s="9"/>
      <c r="I106" s="27"/>
      <c r="J106" s="27"/>
      <c r="K106" s="27"/>
      <c r="L106" s="27"/>
      <c r="M106" s="27"/>
      <c r="N106" s="27"/>
      <c r="O106" s="27"/>
      <c r="P106" s="9"/>
      <c r="Q106" s="4"/>
      <c r="R106" s="9"/>
      <c r="S106" s="13"/>
      <c r="T106" s="9"/>
      <c r="U106" s="2"/>
      <c r="V106" s="9"/>
      <c r="W106" s="9"/>
      <c r="X106" s="9"/>
      <c r="Y106" s="9"/>
      <c r="Z106" s="9"/>
      <c r="AA106" s="9"/>
      <c r="AB106" s="9"/>
      <c r="AC106" s="9"/>
      <c r="AD106" s="9"/>
      <c r="AE106" s="59"/>
      <c r="AF106" s="28"/>
      <c r="AG106" s="29"/>
      <c r="AH106" s="29"/>
      <c r="AI106" s="28"/>
      <c r="AJ106" s="28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</row>
    <row r="107" spans="1:90" ht="10.35" hidden="1" customHeight="1" x14ac:dyDescent="0.15">
      <c r="A107" s="2"/>
      <c r="B107" s="32"/>
      <c r="C107" s="32"/>
      <c r="D107" s="9"/>
      <c r="E107" s="32"/>
      <c r="F107" s="32"/>
      <c r="G107" s="32"/>
      <c r="H107" s="9"/>
      <c r="I107" s="27"/>
      <c r="J107" s="27"/>
      <c r="K107" s="27"/>
      <c r="L107" s="27"/>
      <c r="M107" s="27"/>
      <c r="N107" s="27"/>
      <c r="O107" s="27"/>
      <c r="P107" s="9"/>
      <c r="Q107" s="4"/>
      <c r="R107" s="9"/>
      <c r="S107" s="13"/>
      <c r="T107" s="9"/>
      <c r="U107" s="2"/>
      <c r="V107" s="9"/>
      <c r="W107" s="9"/>
      <c r="X107" s="9"/>
      <c r="Y107" s="9"/>
      <c r="Z107" s="9"/>
      <c r="AA107" s="9"/>
      <c r="AB107" s="9"/>
      <c r="AC107" s="9"/>
      <c r="AD107" s="9"/>
      <c r="AE107" s="59"/>
      <c r="AF107" s="28"/>
      <c r="AG107" s="29"/>
      <c r="AH107" s="29"/>
      <c r="AI107" s="28"/>
      <c r="AJ107" s="28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</row>
    <row r="108" spans="1:90" ht="10.35" hidden="1" customHeight="1" x14ac:dyDescent="0.15">
      <c r="A108" s="2"/>
      <c r="B108" s="32"/>
      <c r="C108" s="32"/>
      <c r="D108" s="9"/>
      <c r="E108" s="32"/>
      <c r="F108" s="32"/>
      <c r="G108" s="32"/>
      <c r="H108" s="9"/>
      <c r="I108" s="27"/>
      <c r="J108" s="27"/>
      <c r="K108" s="27"/>
      <c r="L108" s="27"/>
      <c r="M108" s="27"/>
      <c r="N108" s="27"/>
      <c r="O108" s="27"/>
      <c r="P108" s="9"/>
      <c r="Q108" s="4"/>
      <c r="R108" s="9"/>
      <c r="S108" s="13"/>
      <c r="T108" s="9"/>
      <c r="U108" s="2"/>
      <c r="V108" s="9"/>
      <c r="W108" s="9"/>
      <c r="X108" s="9"/>
      <c r="Y108" s="9"/>
      <c r="Z108" s="9"/>
      <c r="AA108" s="9"/>
      <c r="AB108" s="9"/>
      <c r="AC108" s="9"/>
      <c r="AD108" s="9"/>
      <c r="AE108" s="59"/>
      <c r="AF108" s="28"/>
      <c r="AG108" s="29"/>
      <c r="AH108" s="29"/>
      <c r="AI108" s="28"/>
      <c r="AJ108" s="28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</row>
    <row r="109" spans="1:90" ht="10.35" hidden="1" customHeight="1" x14ac:dyDescent="0.15">
      <c r="A109" s="32"/>
      <c r="B109" s="32"/>
      <c r="C109" s="32"/>
      <c r="D109" s="9"/>
      <c r="E109" s="32"/>
      <c r="F109" s="32"/>
      <c r="G109" s="32"/>
      <c r="H109" s="9"/>
      <c r="I109" s="27"/>
      <c r="J109" s="27"/>
      <c r="K109" s="27"/>
      <c r="L109" s="27"/>
      <c r="M109" s="27"/>
      <c r="N109" s="27"/>
      <c r="O109" s="27"/>
      <c r="P109" s="4"/>
      <c r="Q109" s="4"/>
      <c r="R109" s="4"/>
      <c r="S109" s="13"/>
      <c r="T109" s="7"/>
      <c r="U109" s="5"/>
      <c r="V109" s="6"/>
      <c r="W109" s="6"/>
      <c r="X109" s="6"/>
      <c r="Y109" s="6"/>
      <c r="Z109" s="6"/>
      <c r="AA109" s="6"/>
      <c r="AB109" s="6"/>
      <c r="AC109" s="6"/>
      <c r="AD109" s="6"/>
      <c r="AE109" s="59"/>
      <c r="AF109" s="28"/>
      <c r="AG109" s="29"/>
      <c r="AH109" s="29"/>
      <c r="AI109" s="28"/>
      <c r="AJ109" s="28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</row>
    <row r="110" spans="1:90" ht="10.35" hidden="1" customHeight="1" x14ac:dyDescent="0.15">
      <c r="A110" s="32"/>
      <c r="B110" s="32"/>
      <c r="C110" s="32"/>
      <c r="D110" s="9"/>
      <c r="E110" s="32"/>
      <c r="F110" s="32"/>
      <c r="G110" s="32"/>
      <c r="H110" s="9"/>
      <c r="I110" s="27"/>
      <c r="J110" s="27"/>
      <c r="K110" s="27"/>
      <c r="L110" s="27"/>
      <c r="M110" s="27"/>
      <c r="N110" s="27"/>
      <c r="O110" s="27"/>
      <c r="P110" s="4"/>
      <c r="Q110" s="4"/>
      <c r="R110" s="4"/>
      <c r="S110" s="13"/>
      <c r="T110" s="7"/>
      <c r="U110" s="5"/>
      <c r="V110" s="6"/>
      <c r="W110" s="6"/>
      <c r="X110" s="6"/>
      <c r="Y110" s="6"/>
      <c r="Z110" s="6"/>
      <c r="AA110" s="6"/>
      <c r="AB110" s="6"/>
      <c r="AC110" s="6"/>
      <c r="AD110" s="6"/>
      <c r="AE110" s="59"/>
      <c r="AF110" s="28"/>
      <c r="AG110" s="29"/>
      <c r="AH110" s="29"/>
      <c r="AI110" s="28"/>
      <c r="AJ110" s="28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</row>
    <row r="111" spans="1:90" ht="10.35" hidden="1" customHeight="1" x14ac:dyDescent="0.15">
      <c r="A111" s="32"/>
      <c r="B111" s="32"/>
      <c r="C111" s="32"/>
      <c r="D111" s="9"/>
      <c r="E111" s="32"/>
      <c r="F111" s="32"/>
      <c r="G111" s="32"/>
      <c r="H111" s="9"/>
      <c r="I111" s="27"/>
      <c r="J111" s="27"/>
      <c r="K111" s="27"/>
      <c r="L111" s="27"/>
      <c r="M111" s="27"/>
      <c r="N111" s="27"/>
      <c r="O111" s="27"/>
      <c r="P111" s="4"/>
      <c r="Q111" s="4"/>
      <c r="R111" s="4"/>
      <c r="S111" s="13"/>
      <c r="T111" s="7"/>
      <c r="U111" s="5"/>
      <c r="V111" s="6"/>
      <c r="W111" s="6"/>
      <c r="X111" s="6"/>
      <c r="Y111" s="6"/>
      <c r="Z111" s="6"/>
      <c r="AA111" s="6"/>
      <c r="AB111" s="6"/>
      <c r="AC111" s="6"/>
      <c r="AD111" s="6"/>
      <c r="AE111" s="59"/>
      <c r="AF111" s="28"/>
      <c r="AG111" s="29"/>
      <c r="AH111" s="29"/>
      <c r="AI111" s="28"/>
      <c r="AJ111" s="28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</row>
    <row r="112" spans="1:90" ht="10.35" hidden="1" customHeight="1" x14ac:dyDescent="0.15">
      <c r="A112" s="32"/>
      <c r="B112" s="32"/>
      <c r="C112" s="32"/>
      <c r="D112" s="9"/>
      <c r="E112" s="32"/>
      <c r="F112" s="32"/>
      <c r="G112" s="32"/>
      <c r="H112" s="9"/>
      <c r="I112" s="27"/>
      <c r="J112" s="27"/>
      <c r="K112" s="27"/>
      <c r="L112" s="27"/>
      <c r="M112" s="27"/>
      <c r="N112" s="27"/>
      <c r="O112" s="27"/>
      <c r="P112" s="4"/>
      <c r="Q112" s="4"/>
      <c r="R112" s="4"/>
      <c r="S112" s="13"/>
      <c r="T112" s="7"/>
      <c r="U112" s="5"/>
      <c r="V112" s="6"/>
      <c r="W112" s="6"/>
      <c r="X112" s="6"/>
      <c r="Y112" s="6"/>
      <c r="Z112" s="6"/>
      <c r="AA112" s="6"/>
      <c r="AB112" s="6"/>
      <c r="AC112" s="6"/>
      <c r="AD112" s="6"/>
      <c r="AE112" s="59"/>
      <c r="AF112" s="28"/>
      <c r="AG112" s="29"/>
      <c r="AH112" s="29"/>
      <c r="AI112" s="28"/>
      <c r="AJ112" s="28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</row>
    <row r="113" spans="1:90" ht="10.35" hidden="1" customHeight="1" x14ac:dyDescent="0.15">
      <c r="A113" s="32"/>
      <c r="B113" s="32"/>
      <c r="C113" s="32"/>
      <c r="D113" s="9"/>
      <c r="E113" s="32"/>
      <c r="F113" s="32"/>
      <c r="G113" s="32"/>
      <c r="H113" s="9"/>
      <c r="I113" s="27"/>
      <c r="J113" s="27"/>
      <c r="K113" s="27"/>
      <c r="L113" s="27"/>
      <c r="M113" s="27"/>
      <c r="N113" s="27"/>
      <c r="O113" s="27"/>
      <c r="P113" s="4"/>
      <c r="Q113" s="4"/>
      <c r="R113" s="4"/>
      <c r="S113" s="13"/>
      <c r="T113" s="7"/>
      <c r="U113" s="5"/>
      <c r="V113" s="6"/>
      <c r="W113" s="6"/>
      <c r="X113" s="6"/>
      <c r="Y113" s="6"/>
      <c r="Z113" s="6"/>
      <c r="AA113" s="6"/>
      <c r="AB113" s="6"/>
      <c r="AC113" s="6"/>
      <c r="AD113" s="6"/>
      <c r="AE113" s="59"/>
      <c r="AF113" s="28"/>
      <c r="AG113" s="29"/>
      <c r="AH113" s="29"/>
      <c r="AI113" s="28"/>
      <c r="AJ113" s="28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</row>
    <row r="114" spans="1:90" ht="10.35" hidden="1" customHeight="1" x14ac:dyDescent="0.15">
      <c r="A114" s="32"/>
      <c r="B114" s="32"/>
      <c r="C114" s="32"/>
      <c r="D114" s="9"/>
      <c r="E114" s="32"/>
      <c r="F114" s="32"/>
      <c r="G114" s="32"/>
      <c r="H114" s="9"/>
      <c r="I114" s="27"/>
      <c r="J114" s="27"/>
      <c r="K114" s="27"/>
      <c r="L114" s="27"/>
      <c r="M114" s="27"/>
      <c r="N114" s="27"/>
      <c r="O114" s="27"/>
      <c r="P114" s="4"/>
      <c r="Q114" s="4"/>
      <c r="R114" s="4"/>
      <c r="S114" s="13"/>
      <c r="T114" s="7"/>
      <c r="U114" s="5"/>
      <c r="V114" s="6"/>
      <c r="W114" s="6"/>
      <c r="X114" s="6"/>
      <c r="Y114" s="6"/>
      <c r="Z114" s="6"/>
      <c r="AA114" s="6"/>
      <c r="AB114" s="6"/>
      <c r="AC114" s="6"/>
      <c r="AD114" s="6"/>
      <c r="AE114" s="59"/>
      <c r="AF114" s="28"/>
      <c r="AG114" s="29"/>
      <c r="AH114" s="29"/>
      <c r="AI114" s="28"/>
      <c r="AJ114" s="28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</row>
    <row r="115" spans="1:90" ht="10.35" hidden="1" customHeight="1" x14ac:dyDescent="0.15">
      <c r="A115" s="32"/>
      <c r="B115" s="32"/>
      <c r="C115" s="32"/>
      <c r="D115" s="9"/>
      <c r="E115" s="32"/>
      <c r="F115" s="32"/>
      <c r="G115" s="32"/>
      <c r="H115" s="9"/>
      <c r="I115" s="27"/>
      <c r="J115" s="27"/>
      <c r="K115" s="27"/>
      <c r="L115" s="27"/>
      <c r="M115" s="27"/>
      <c r="N115" s="27"/>
      <c r="O115" s="27"/>
      <c r="P115" s="4"/>
      <c r="Q115" s="4"/>
      <c r="R115" s="4"/>
      <c r="S115" s="13"/>
      <c r="T115" s="7"/>
      <c r="U115" s="5"/>
      <c r="V115" s="6"/>
      <c r="W115" s="6"/>
      <c r="X115" s="6"/>
      <c r="Y115" s="6"/>
      <c r="Z115" s="6"/>
      <c r="AA115" s="6"/>
      <c r="AB115" s="6"/>
      <c r="AC115" s="6"/>
      <c r="AD115" s="6"/>
      <c r="AE115" s="59"/>
      <c r="AF115" s="28"/>
      <c r="AG115" s="29"/>
      <c r="AH115" s="29"/>
      <c r="AI115" s="28"/>
      <c r="AJ115" s="28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</row>
    <row r="116" spans="1:90" ht="10.35" hidden="1" customHeight="1" x14ac:dyDescent="0.15">
      <c r="A116" s="32"/>
      <c r="B116" s="32"/>
      <c r="C116" s="32"/>
      <c r="D116" s="9"/>
      <c r="E116" s="32"/>
      <c r="F116" s="32"/>
      <c r="G116" s="32"/>
      <c r="H116" s="9"/>
      <c r="I116" s="27"/>
      <c r="J116" s="27"/>
      <c r="K116" s="27"/>
      <c r="L116" s="27"/>
      <c r="M116" s="27"/>
      <c r="N116" s="27"/>
      <c r="O116" s="27"/>
      <c r="P116" s="4"/>
      <c r="Q116" s="4"/>
      <c r="R116" s="4"/>
      <c r="S116" s="13"/>
      <c r="T116" s="7"/>
      <c r="U116" s="5"/>
      <c r="V116" s="6"/>
      <c r="W116" s="6"/>
      <c r="X116" s="6"/>
      <c r="Y116" s="6"/>
      <c r="Z116" s="6"/>
      <c r="AA116" s="6"/>
      <c r="AB116" s="6"/>
      <c r="AC116" s="6"/>
      <c r="AD116" s="6"/>
      <c r="AE116" s="59"/>
      <c r="AF116" s="28"/>
      <c r="AG116" s="29"/>
      <c r="AH116" s="29"/>
      <c r="AI116" s="28"/>
      <c r="AJ116" s="28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</row>
    <row r="117" spans="1:90" ht="10.35" hidden="1" customHeight="1" x14ac:dyDescent="0.15">
      <c r="A117" s="32"/>
      <c r="B117" s="32"/>
      <c r="C117" s="32"/>
      <c r="D117" s="9"/>
      <c r="E117" s="32"/>
      <c r="F117" s="32"/>
      <c r="G117" s="32"/>
      <c r="H117" s="9"/>
      <c r="I117" s="27"/>
      <c r="J117" s="27"/>
      <c r="K117" s="27"/>
      <c r="L117" s="27"/>
      <c r="M117" s="27"/>
      <c r="N117" s="27"/>
      <c r="O117" s="27"/>
      <c r="P117" s="4"/>
      <c r="Q117" s="4"/>
      <c r="R117" s="4"/>
      <c r="S117" s="13"/>
      <c r="T117" s="7"/>
      <c r="U117" s="5"/>
      <c r="V117" s="6"/>
      <c r="W117" s="6"/>
      <c r="X117" s="6"/>
      <c r="Y117" s="6"/>
      <c r="Z117" s="6"/>
      <c r="AA117" s="6"/>
      <c r="AB117" s="6"/>
      <c r="AC117" s="6"/>
      <c r="AD117" s="6"/>
      <c r="AE117" s="59"/>
      <c r="AF117" s="28"/>
      <c r="AG117" s="29"/>
      <c r="AH117" s="29"/>
      <c r="AI117" s="28"/>
      <c r="AJ117" s="28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</row>
    <row r="118" spans="1:90" ht="10.35" hidden="1" customHeight="1" x14ac:dyDescent="0.15">
      <c r="A118" s="32"/>
      <c r="B118" s="32"/>
      <c r="C118" s="32"/>
      <c r="D118" s="9"/>
      <c r="E118" s="32"/>
      <c r="F118" s="32"/>
      <c r="G118" s="32"/>
      <c r="H118" s="9"/>
      <c r="I118" s="27"/>
      <c r="J118" s="27"/>
      <c r="K118" s="27"/>
      <c r="L118" s="27"/>
      <c r="M118" s="27"/>
      <c r="N118" s="27"/>
      <c r="O118" s="27"/>
      <c r="P118" s="4"/>
      <c r="Q118" s="4"/>
      <c r="R118" s="4"/>
      <c r="S118" s="13"/>
      <c r="T118" s="7"/>
      <c r="U118" s="5"/>
      <c r="V118" s="6"/>
      <c r="W118" s="6"/>
      <c r="X118" s="6"/>
      <c r="Y118" s="6"/>
      <c r="Z118" s="6"/>
      <c r="AA118" s="6"/>
      <c r="AB118" s="6"/>
      <c r="AC118" s="6"/>
      <c r="AD118" s="6"/>
      <c r="AE118" s="59"/>
      <c r="AF118" s="28"/>
      <c r="AG118" s="29"/>
      <c r="AH118" s="29"/>
      <c r="AI118" s="28"/>
      <c r="AJ118" s="28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</row>
    <row r="119" spans="1:90" ht="10.35" hidden="1" customHeight="1" x14ac:dyDescent="0.15">
      <c r="A119" s="32"/>
      <c r="B119" s="32"/>
      <c r="C119" s="32"/>
      <c r="D119" s="9"/>
      <c r="E119" s="32"/>
      <c r="F119" s="32"/>
      <c r="G119" s="32"/>
      <c r="H119" s="9"/>
      <c r="I119" s="27"/>
      <c r="J119" s="27"/>
      <c r="K119" s="27"/>
      <c r="L119" s="27"/>
      <c r="M119" s="27"/>
      <c r="N119" s="27"/>
      <c r="O119" s="27"/>
      <c r="P119" s="4"/>
      <c r="Q119" s="4"/>
      <c r="R119" s="4"/>
      <c r="S119" s="13"/>
      <c r="T119" s="7"/>
      <c r="U119" s="5"/>
      <c r="V119" s="6"/>
      <c r="W119" s="6"/>
      <c r="X119" s="6"/>
      <c r="Y119" s="6"/>
      <c r="Z119" s="6"/>
      <c r="AA119" s="6"/>
      <c r="AB119" s="6"/>
      <c r="AC119" s="6"/>
      <c r="AD119" s="6"/>
      <c r="AE119" s="59"/>
      <c r="AF119" s="28"/>
      <c r="AG119" s="29"/>
      <c r="AH119" s="29"/>
      <c r="AI119" s="28"/>
      <c r="AJ119" s="28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</row>
    <row r="120" spans="1:90" ht="10.35" hidden="1" customHeight="1" x14ac:dyDescent="0.15">
      <c r="A120" s="32"/>
      <c r="B120" s="32"/>
      <c r="C120" s="32"/>
      <c r="D120" s="9"/>
      <c r="E120" s="32"/>
      <c r="F120" s="32"/>
      <c r="G120" s="32"/>
      <c r="H120" s="9"/>
      <c r="I120" s="27"/>
      <c r="J120" s="27"/>
      <c r="K120" s="27"/>
      <c r="L120" s="27"/>
      <c r="M120" s="27"/>
      <c r="N120" s="27"/>
      <c r="O120" s="27"/>
      <c r="P120" s="4"/>
      <c r="Q120" s="4"/>
      <c r="R120" s="4"/>
      <c r="S120" s="13"/>
      <c r="T120" s="7"/>
      <c r="U120" s="5"/>
      <c r="V120" s="6"/>
      <c r="W120" s="6"/>
      <c r="X120" s="6"/>
      <c r="Y120" s="6"/>
      <c r="Z120" s="6"/>
      <c r="AA120" s="6"/>
      <c r="AB120" s="6"/>
      <c r="AC120" s="6"/>
      <c r="AD120" s="6"/>
      <c r="AE120" s="59"/>
      <c r="AF120" s="28"/>
      <c r="AG120" s="29"/>
      <c r="AH120" s="29"/>
      <c r="AI120" s="28"/>
      <c r="AJ120" s="28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</row>
    <row r="121" spans="1:90" ht="10.35" hidden="1" customHeight="1" x14ac:dyDescent="0.15">
      <c r="A121" s="32"/>
      <c r="B121" s="32"/>
      <c r="C121" s="32"/>
      <c r="D121" s="9"/>
      <c r="E121" s="32"/>
      <c r="F121" s="32"/>
      <c r="G121" s="32"/>
      <c r="H121" s="9"/>
      <c r="I121" s="27"/>
      <c r="J121" s="27"/>
      <c r="K121" s="27"/>
      <c r="L121" s="27"/>
      <c r="M121" s="27"/>
      <c r="N121" s="27"/>
      <c r="O121" s="27"/>
      <c r="P121" s="4"/>
      <c r="Q121" s="4"/>
      <c r="R121" s="4"/>
      <c r="S121" s="13"/>
      <c r="T121" s="7"/>
      <c r="U121" s="5"/>
      <c r="V121" s="6"/>
      <c r="W121" s="6"/>
      <c r="X121" s="6"/>
      <c r="Y121" s="6"/>
      <c r="Z121" s="6"/>
      <c r="AA121" s="6"/>
      <c r="AB121" s="6"/>
      <c r="AC121" s="6"/>
      <c r="AD121" s="6"/>
      <c r="AE121" s="59"/>
      <c r="AF121" s="28"/>
      <c r="AG121" s="29"/>
      <c r="AH121" s="29"/>
      <c r="AI121" s="28"/>
      <c r="AJ121" s="28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</row>
    <row r="122" spans="1:90" ht="10.35" hidden="1" customHeight="1" x14ac:dyDescent="0.15">
      <c r="A122" s="32"/>
      <c r="B122" s="32"/>
      <c r="C122" s="32"/>
      <c r="D122" s="9"/>
      <c r="E122" s="32"/>
      <c r="F122" s="32"/>
      <c r="G122" s="32"/>
      <c r="H122" s="9"/>
      <c r="I122" s="27"/>
      <c r="J122" s="27"/>
      <c r="K122" s="27"/>
      <c r="L122" s="27"/>
      <c r="M122" s="27"/>
      <c r="N122" s="27"/>
      <c r="O122" s="27"/>
      <c r="P122" s="4"/>
      <c r="Q122" s="4"/>
      <c r="R122" s="4"/>
      <c r="S122" s="13"/>
      <c r="T122" s="7"/>
      <c r="U122" s="5"/>
      <c r="V122" s="6"/>
      <c r="W122" s="6"/>
      <c r="X122" s="6"/>
      <c r="Y122" s="6"/>
      <c r="Z122" s="6"/>
      <c r="AA122" s="6"/>
      <c r="AB122" s="6"/>
      <c r="AC122" s="6"/>
      <c r="AD122" s="6"/>
      <c r="AE122" s="59"/>
      <c r="AF122" s="28"/>
      <c r="AG122" s="29"/>
      <c r="AH122" s="29"/>
      <c r="AI122" s="28"/>
      <c r="AJ122" s="28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</row>
    <row r="123" spans="1:90" ht="10.35" hidden="1" customHeight="1" x14ac:dyDescent="0.15">
      <c r="A123" s="32"/>
      <c r="B123" s="32"/>
      <c r="C123" s="32"/>
      <c r="D123" s="9"/>
      <c r="E123" s="32"/>
      <c r="F123" s="32"/>
      <c r="G123" s="32"/>
      <c r="H123" s="9"/>
      <c r="I123" s="27"/>
      <c r="J123" s="27"/>
      <c r="K123" s="27"/>
      <c r="L123" s="27"/>
      <c r="M123" s="27"/>
      <c r="N123" s="27"/>
      <c r="O123" s="27"/>
      <c r="P123" s="4"/>
      <c r="Q123" s="4"/>
      <c r="R123" s="4"/>
      <c r="S123" s="13"/>
      <c r="T123" s="7"/>
      <c r="U123" s="5"/>
      <c r="V123" s="6"/>
      <c r="W123" s="6"/>
      <c r="X123" s="6"/>
      <c r="Y123" s="6"/>
      <c r="Z123" s="6"/>
      <c r="AA123" s="6"/>
      <c r="AB123" s="6"/>
      <c r="AC123" s="6"/>
      <c r="AD123" s="6"/>
      <c r="AE123" s="59"/>
      <c r="AF123" s="28"/>
      <c r="AG123" s="29"/>
      <c r="AH123" s="29"/>
      <c r="AI123" s="28"/>
      <c r="AJ123" s="28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</row>
    <row r="124" spans="1:90" ht="10.35" hidden="1" customHeight="1" x14ac:dyDescent="0.15">
      <c r="A124" s="32"/>
      <c r="B124" s="32"/>
      <c r="C124" s="32"/>
      <c r="D124" s="9"/>
      <c r="E124" s="32"/>
      <c r="F124" s="32"/>
      <c r="G124" s="32"/>
      <c r="H124" s="9"/>
      <c r="I124" s="27"/>
      <c r="J124" s="27"/>
      <c r="K124" s="27"/>
      <c r="L124" s="27"/>
      <c r="M124" s="27"/>
      <c r="N124" s="27"/>
      <c r="O124" s="27"/>
      <c r="P124" s="4"/>
      <c r="Q124" s="4"/>
      <c r="R124" s="4"/>
      <c r="S124" s="13"/>
      <c r="T124" s="7"/>
      <c r="U124" s="5"/>
      <c r="V124" s="6"/>
      <c r="W124" s="6"/>
      <c r="X124" s="6"/>
      <c r="Y124" s="6"/>
      <c r="Z124" s="6"/>
      <c r="AA124" s="6"/>
      <c r="AB124" s="6"/>
      <c r="AC124" s="6"/>
      <c r="AD124" s="6"/>
      <c r="AE124" s="59"/>
      <c r="AF124" s="28"/>
      <c r="AG124" s="29"/>
      <c r="AH124" s="29"/>
      <c r="AI124" s="28"/>
      <c r="AJ124" s="28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</row>
    <row r="125" spans="1:90" ht="10.35" hidden="1" customHeight="1" x14ac:dyDescent="0.15">
      <c r="A125" s="32"/>
      <c r="B125" s="32"/>
      <c r="C125" s="32"/>
      <c r="D125" s="9"/>
      <c r="E125" s="32"/>
      <c r="F125" s="32"/>
      <c r="G125" s="32"/>
      <c r="H125" s="9"/>
      <c r="I125" s="27"/>
      <c r="J125" s="27"/>
      <c r="K125" s="27"/>
      <c r="L125" s="27"/>
      <c r="M125" s="27"/>
      <c r="N125" s="27"/>
      <c r="O125" s="27"/>
      <c r="P125" s="4"/>
      <c r="Q125" s="4"/>
      <c r="R125" s="4"/>
      <c r="S125" s="13"/>
      <c r="T125" s="7"/>
      <c r="U125" s="5"/>
      <c r="V125" s="6"/>
      <c r="W125" s="6"/>
      <c r="X125" s="6"/>
      <c r="Y125" s="6"/>
      <c r="Z125" s="6"/>
      <c r="AA125" s="6"/>
      <c r="AB125" s="6"/>
      <c r="AC125" s="6"/>
      <c r="AD125" s="6"/>
      <c r="AE125" s="59"/>
      <c r="AF125" s="28"/>
      <c r="AG125" s="29"/>
      <c r="AH125" s="29"/>
      <c r="AI125" s="28"/>
      <c r="AJ125" s="28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</row>
    <row r="126" spans="1:90" ht="10.35" hidden="1" customHeight="1" x14ac:dyDescent="0.15">
      <c r="A126" s="32"/>
      <c r="B126" s="32"/>
      <c r="C126" s="32"/>
      <c r="D126" s="9"/>
      <c r="E126" s="32"/>
      <c r="F126" s="32"/>
      <c r="G126" s="32"/>
      <c r="H126" s="9"/>
      <c r="I126" s="27"/>
      <c r="J126" s="27"/>
      <c r="K126" s="27"/>
      <c r="L126" s="27"/>
      <c r="M126" s="27"/>
      <c r="N126" s="27"/>
      <c r="O126" s="27"/>
      <c r="P126" s="4"/>
      <c r="Q126" s="4"/>
      <c r="R126" s="4"/>
      <c r="S126" s="13"/>
      <c r="T126" s="7"/>
      <c r="U126" s="5"/>
      <c r="V126" s="6"/>
      <c r="W126" s="6"/>
      <c r="X126" s="6"/>
      <c r="Y126" s="6"/>
      <c r="Z126" s="6"/>
      <c r="AA126" s="6"/>
      <c r="AB126" s="6"/>
      <c r="AC126" s="6"/>
      <c r="AD126" s="6"/>
      <c r="AE126" s="59"/>
      <c r="AF126" s="28"/>
      <c r="AG126" s="29"/>
      <c r="AH126" s="29"/>
      <c r="AI126" s="28"/>
      <c r="AJ126" s="28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</row>
    <row r="127" spans="1:90" ht="10.35" hidden="1" customHeight="1" x14ac:dyDescent="0.15">
      <c r="A127" s="32"/>
      <c r="B127" s="32"/>
      <c r="C127" s="32"/>
      <c r="D127" s="9"/>
      <c r="E127" s="32"/>
      <c r="F127" s="32"/>
      <c r="G127" s="32"/>
      <c r="H127" s="9"/>
      <c r="I127" s="27"/>
      <c r="J127" s="27"/>
      <c r="K127" s="27"/>
      <c r="L127" s="27"/>
      <c r="M127" s="27"/>
      <c r="N127" s="27"/>
      <c r="O127" s="27"/>
      <c r="P127" s="9"/>
      <c r="Q127" s="4"/>
      <c r="R127" s="9"/>
      <c r="S127" s="13"/>
      <c r="T127" s="9"/>
      <c r="U127" s="2"/>
      <c r="V127" s="9"/>
      <c r="W127" s="9"/>
      <c r="X127" s="9"/>
      <c r="Y127" s="9"/>
      <c r="Z127" s="9"/>
      <c r="AA127" s="9"/>
      <c r="AB127" s="9"/>
      <c r="AC127" s="9"/>
      <c r="AD127" s="9"/>
      <c r="AE127" s="59"/>
      <c r="AF127" s="28"/>
      <c r="AG127" s="29"/>
      <c r="AH127" s="29"/>
      <c r="AI127" s="28"/>
      <c r="AJ127" s="28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</row>
    <row r="128" spans="1:90" ht="10.35" hidden="1" customHeight="1" x14ac:dyDescent="0.15">
      <c r="A128" s="9"/>
      <c r="B128" s="32"/>
      <c r="C128" s="32"/>
      <c r="D128" s="9"/>
      <c r="E128" s="32"/>
      <c r="F128" s="32"/>
      <c r="G128" s="32"/>
      <c r="H128" s="9"/>
      <c r="I128" s="27"/>
      <c r="J128" s="27"/>
      <c r="K128" s="27"/>
      <c r="L128" s="27"/>
      <c r="M128" s="27"/>
      <c r="N128" s="27"/>
      <c r="O128" s="27"/>
      <c r="P128" s="4"/>
      <c r="Q128" s="4"/>
      <c r="R128" s="4"/>
      <c r="S128" s="13"/>
      <c r="T128" s="7"/>
      <c r="U128" s="5"/>
      <c r="V128" s="6"/>
      <c r="W128" s="6"/>
      <c r="X128" s="6"/>
      <c r="Y128" s="6"/>
      <c r="Z128" s="6"/>
      <c r="AA128" s="6"/>
      <c r="AB128" s="6"/>
      <c r="AC128" s="6"/>
      <c r="AD128" s="6"/>
      <c r="AE128" s="59"/>
      <c r="AF128" s="28"/>
      <c r="AG128" s="29"/>
      <c r="AH128" s="29"/>
      <c r="AI128" s="28"/>
      <c r="AJ128" s="28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</row>
    <row r="129" spans="1:90" ht="12.75" hidden="1" customHeight="1" x14ac:dyDescent="0.15">
      <c r="I129" s="10"/>
      <c r="J129" s="10"/>
      <c r="K129" s="10"/>
      <c r="L129" s="10"/>
      <c r="M129" s="10"/>
      <c r="N129" s="10"/>
      <c r="O129" s="10"/>
      <c r="P129" s="9" t="s">
        <v>32</v>
      </c>
      <c r="Q129" s="14"/>
      <c r="R129" s="32"/>
      <c r="S129" s="14"/>
      <c r="T129" s="9" t="s">
        <v>32</v>
      </c>
      <c r="U129" s="14"/>
      <c r="V129" s="15"/>
      <c r="W129" s="15"/>
      <c r="X129" s="15"/>
      <c r="Y129" s="15"/>
      <c r="Z129" s="15"/>
      <c r="AA129" s="15"/>
      <c r="AB129" s="15"/>
      <c r="AC129" s="15"/>
      <c r="AD129" s="15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</row>
    <row r="130" spans="1:90" ht="12.75" hidden="1" customHeight="1" x14ac:dyDescent="0.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2" t="str">
        <f>A28</f>
        <v>Copyright by Impulse Assessoria de Negócios Ltda. - V. 4.3.1 - 05/2014 - Freeware - hhc@impulserio.com.br - www.impulserio.com.br</v>
      </c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</row>
    <row r="131" spans="1:90" ht="12.75" hidden="1" customHeight="1" x14ac:dyDescent="0.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</row>
    <row r="132" spans="1:90" ht="12.75" hidden="1" customHeight="1" x14ac:dyDescent="0.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</row>
    <row r="133" spans="1:90" ht="12.75" hidden="1" customHeight="1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</row>
    <row r="134" spans="1:90" ht="12.75" hidden="1" customHeight="1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</row>
    <row r="135" spans="1:90" ht="12.75" hidden="1" customHeight="1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</row>
    <row r="136" spans="1:90" ht="12.75" hidden="1" customHeight="1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</row>
    <row r="137" spans="1:90" ht="12.75" hidden="1" customHeight="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</row>
    <row r="138" spans="1:90" ht="12.75" hidden="1" customHeight="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</row>
    <row r="139" spans="1:90" ht="12.75" hidden="1" customHeight="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</row>
    <row r="140" spans="1:90" ht="12.75" hidden="1" customHeight="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</row>
    <row r="141" spans="1:90" ht="12.75" hidden="1" customHeight="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</row>
    <row r="142" spans="1:90" ht="12.75" hidden="1" customHeight="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</row>
    <row r="143" spans="1:90" ht="12.75" hidden="1" customHeight="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</row>
    <row r="144" spans="1:90" ht="12.75" hidden="1" customHeight="1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</row>
    <row r="145" spans="1:90" ht="12.75" hidden="1" customHeight="1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</row>
    <row r="146" spans="1:90" ht="12.75" hidden="1" customHeight="1" x14ac:dyDescent="0.15">
      <c r="A146" s="18"/>
      <c r="B146" s="3"/>
      <c r="C146" s="19"/>
      <c r="D146" s="3"/>
      <c r="E146" s="19"/>
      <c r="F146" s="3"/>
      <c r="G146" s="3"/>
      <c r="H146" s="3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</row>
    <row r="147" spans="1:90" ht="12.75" hidden="1" customHeight="1" x14ac:dyDescent="0.15">
      <c r="A147" s="18"/>
      <c r="B147" s="3"/>
      <c r="C147" s="19"/>
      <c r="D147" s="3"/>
      <c r="E147" s="19"/>
      <c r="F147" s="3"/>
      <c r="G147" s="3"/>
      <c r="H147" s="3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90" ht="12.75" hidden="1" customHeight="1" x14ac:dyDescent="0.15">
      <c r="A148" s="18"/>
      <c r="B148" s="3"/>
      <c r="C148" s="19"/>
      <c r="D148" s="3"/>
      <c r="E148" s="19"/>
      <c r="F148" s="3"/>
      <c r="G148" s="3"/>
      <c r="H148" s="3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90" ht="12.75" hidden="1" customHeight="1" x14ac:dyDescent="0.15">
      <c r="A149" s="18"/>
      <c r="B149" s="3"/>
      <c r="C149" s="19"/>
      <c r="D149" s="3"/>
      <c r="E149" s="19"/>
      <c r="F149" s="3"/>
      <c r="G149" s="3"/>
      <c r="H149" s="3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90" ht="12.75" hidden="1" customHeight="1" x14ac:dyDescent="0.15">
      <c r="A150" s="18"/>
      <c r="B150" s="3"/>
      <c r="C150" s="19"/>
      <c r="D150" s="3"/>
      <c r="E150" s="19"/>
      <c r="F150" s="3"/>
      <c r="G150" s="3"/>
      <c r="H150" s="3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90" ht="12.75" hidden="1" customHeight="1" x14ac:dyDescent="0.15">
      <c r="A151" s="18"/>
      <c r="B151" s="3"/>
      <c r="C151" s="19"/>
      <c r="D151" s="3"/>
      <c r="E151" s="19"/>
      <c r="F151" s="3"/>
      <c r="G151" s="3"/>
      <c r="H151" s="3"/>
      <c r="K151" s="23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90" ht="12.75" hidden="1" customHeight="1" x14ac:dyDescent="0.15">
      <c r="A152" s="18"/>
      <c r="B152" s="3"/>
      <c r="C152" s="19"/>
      <c r="D152" s="3"/>
      <c r="E152" s="19"/>
      <c r="F152" s="3"/>
      <c r="G152" s="3"/>
      <c r="H152" s="3"/>
      <c r="K152" s="23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90" ht="12.75" hidden="1" customHeight="1" x14ac:dyDescent="0.15">
      <c r="A153" s="18"/>
      <c r="B153" s="3"/>
      <c r="C153" s="19"/>
      <c r="D153" s="3"/>
      <c r="E153" s="19"/>
      <c r="F153" s="3"/>
      <c r="G153" s="3"/>
      <c r="H153" s="3"/>
      <c r="K153" s="23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90" ht="12.75" hidden="1" customHeight="1" x14ac:dyDescent="0.15">
      <c r="A154" s="18"/>
      <c r="B154" s="3"/>
      <c r="C154" s="19"/>
      <c r="D154" s="3"/>
      <c r="E154" s="19"/>
      <c r="F154" s="3"/>
      <c r="G154" s="3"/>
      <c r="H154" s="3"/>
      <c r="K154" s="23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90" ht="12.75" hidden="1" customHeight="1" x14ac:dyDescent="0.15">
      <c r="A155" s="18"/>
      <c r="B155" s="3"/>
      <c r="C155" s="19"/>
      <c r="D155" s="3"/>
      <c r="E155" s="19"/>
      <c r="F155" s="3"/>
      <c r="G155" s="3"/>
      <c r="H155" s="3"/>
      <c r="K155" s="23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90" ht="12.75" hidden="1" customHeight="1" x14ac:dyDescent="0.15">
      <c r="A156" s="18"/>
      <c r="B156" s="3"/>
      <c r="C156" s="19"/>
      <c r="D156" s="3"/>
      <c r="E156" s="19"/>
      <c r="F156" s="3"/>
      <c r="G156" s="3"/>
      <c r="H156" s="3"/>
      <c r="K156" s="23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90" ht="12.75" hidden="1" customHeight="1" x14ac:dyDescent="0.15">
      <c r="A157" s="18"/>
      <c r="B157" s="3"/>
      <c r="C157" s="19"/>
      <c r="D157" s="3"/>
      <c r="E157" s="19"/>
      <c r="F157" s="3"/>
      <c r="G157" s="3"/>
      <c r="H157" s="3"/>
      <c r="K157" s="23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90" ht="12.75" hidden="1" customHeight="1" x14ac:dyDescent="0.15">
      <c r="A158" s="18"/>
      <c r="B158" s="3"/>
      <c r="C158" s="19"/>
      <c r="D158" s="3"/>
      <c r="E158" s="19"/>
      <c r="F158" s="3"/>
      <c r="G158" s="3"/>
      <c r="H158" s="3"/>
      <c r="K158" s="23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90" ht="12.75" hidden="1" customHeight="1" x14ac:dyDescent="0.15">
      <c r="A159" s="18"/>
      <c r="B159" s="3"/>
      <c r="C159" s="19"/>
      <c r="D159" s="3"/>
      <c r="E159" s="19"/>
      <c r="F159" s="3"/>
      <c r="G159" s="3"/>
      <c r="H159" s="3"/>
      <c r="K159" s="23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90" ht="12.75" hidden="1" customHeight="1" x14ac:dyDescent="0.15">
      <c r="A160" s="18"/>
      <c r="B160" s="3"/>
      <c r="C160" s="19"/>
      <c r="D160" s="3"/>
      <c r="E160" s="19"/>
      <c r="F160" s="3"/>
      <c r="G160" s="3"/>
      <c r="H160" s="3"/>
      <c r="K160" s="23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 ht="12.75" hidden="1" customHeight="1" x14ac:dyDescent="0.15">
      <c r="A161" s="18"/>
      <c r="B161" s="3"/>
      <c r="C161" s="19"/>
      <c r="D161" s="3"/>
      <c r="E161" s="19"/>
      <c r="F161" s="3"/>
      <c r="G161" s="3"/>
      <c r="H161" s="3"/>
      <c r="K161" s="23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 hidden="1" x14ac:dyDescent="0.15">
      <c r="A162" s="18"/>
      <c r="B162" s="3"/>
      <c r="C162" s="19"/>
      <c r="D162" s="3"/>
      <c r="E162" s="19"/>
      <c r="F162" s="3"/>
      <c r="G162" s="3"/>
      <c r="H162" s="3"/>
      <c r="K162" s="23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 hidden="1" x14ac:dyDescent="0.15">
      <c r="A163" s="18"/>
      <c r="B163" s="3"/>
      <c r="C163" s="19"/>
      <c r="D163" s="3"/>
      <c r="E163" s="19"/>
      <c r="F163" s="3"/>
      <c r="G163" s="3"/>
      <c r="H163" s="3"/>
      <c r="K163" s="23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 hidden="1" x14ac:dyDescent="0.15">
      <c r="A164" s="18"/>
      <c r="B164" s="3"/>
      <c r="C164" s="19"/>
      <c r="D164" s="3"/>
      <c r="E164" s="19"/>
      <c r="F164" s="3"/>
      <c r="G164" s="3"/>
      <c r="H164" s="3"/>
      <c r="K164" s="23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 hidden="1" x14ac:dyDescent="0.15">
      <c r="A165" s="18"/>
      <c r="B165" s="3"/>
      <c r="C165" s="19"/>
      <c r="D165" s="3"/>
      <c r="E165" s="19"/>
      <c r="F165" s="3"/>
      <c r="G165" s="3"/>
      <c r="H165" s="3"/>
      <c r="K165" s="23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 hidden="1" x14ac:dyDescent="0.15">
      <c r="A166" s="18"/>
      <c r="B166" s="3"/>
      <c r="C166" s="19"/>
      <c r="D166" s="3"/>
      <c r="E166" s="19"/>
      <c r="F166" s="3"/>
      <c r="G166" s="3"/>
      <c r="H166" s="3"/>
      <c r="K166" s="23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 hidden="1" x14ac:dyDescent="0.15">
      <c r="A167" s="18"/>
      <c r="B167" s="3"/>
      <c r="C167" s="19"/>
      <c r="D167" s="3"/>
      <c r="E167" s="19"/>
      <c r="F167" s="3"/>
      <c r="G167" s="3"/>
      <c r="H167" s="3"/>
      <c r="K167" s="23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 hidden="1" x14ac:dyDescent="0.15">
      <c r="A168" s="18"/>
      <c r="B168" s="3"/>
      <c r="C168" s="19"/>
      <c r="D168" s="3"/>
      <c r="E168" s="19"/>
      <c r="F168" s="3"/>
      <c r="G168" s="3"/>
      <c r="H168" s="3"/>
      <c r="K168" s="23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 hidden="1" x14ac:dyDescent="0.15">
      <c r="A169" s="18"/>
      <c r="B169" s="3"/>
      <c r="C169" s="19"/>
      <c r="D169" s="3"/>
      <c r="E169" s="19"/>
      <c r="F169" s="3"/>
      <c r="G169" s="3"/>
      <c r="H169" s="3"/>
      <c r="K169" s="23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 hidden="1" x14ac:dyDescent="0.15">
      <c r="A170" s="18"/>
      <c r="B170" s="3"/>
      <c r="C170" s="19"/>
      <c r="D170" s="3"/>
      <c r="E170" s="19"/>
      <c r="F170" s="3"/>
      <c r="G170" s="3"/>
      <c r="H170" s="3"/>
      <c r="K170" s="23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 hidden="1" x14ac:dyDescent="0.15">
      <c r="A171" s="18"/>
      <c r="B171" s="3"/>
      <c r="C171" s="19"/>
      <c r="D171" s="3"/>
      <c r="E171" s="19"/>
      <c r="F171" s="3"/>
      <c r="G171" s="3"/>
      <c r="H171" s="3"/>
      <c r="K171" s="23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 hidden="1" x14ac:dyDescent="0.15">
      <c r="A172" s="18"/>
      <c r="B172" s="3"/>
      <c r="C172" s="19"/>
      <c r="D172" s="3"/>
      <c r="E172" s="19"/>
      <c r="F172" s="3"/>
      <c r="G172" s="3"/>
      <c r="H172" s="3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 hidden="1" x14ac:dyDescent="0.15">
      <c r="A173" s="18"/>
      <c r="B173" s="3"/>
      <c r="C173" s="19"/>
      <c r="D173" s="3"/>
      <c r="E173" s="19"/>
      <c r="F173" s="3"/>
      <c r="G173" s="3"/>
      <c r="H173" s="3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 hidden="1" x14ac:dyDescent="0.15"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 hidden="1" x14ac:dyDescent="0.15"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</row>
    <row r="176" spans="1:30" hidden="1" x14ac:dyDescent="0.15"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</row>
    <row r="177" spans="16:30" hidden="1" x14ac:dyDescent="0.15"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</row>
    <row r="178" spans="16:30" hidden="1" x14ac:dyDescent="0.15"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</row>
    <row r="179" spans="16:30" hidden="1" x14ac:dyDescent="0.15"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</row>
    <row r="180" spans="16:30" hidden="1" x14ac:dyDescent="0.15"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</row>
    <row r="181" spans="16:30" hidden="1" x14ac:dyDescent="0.15"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</row>
    <row r="182" spans="16:30" hidden="1" x14ac:dyDescent="0.15"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</row>
    <row r="183" spans="16:30" hidden="1" x14ac:dyDescent="0.15"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</row>
    <row r="184" spans="16:30" hidden="1" x14ac:dyDescent="0.15"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</row>
    <row r="185" spans="16:30" hidden="1" x14ac:dyDescent="0.15"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6:30" hidden="1" x14ac:dyDescent="0.15"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6:30" hidden="1" x14ac:dyDescent="0.15"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</row>
    <row r="188" spans="16:30" hidden="1" x14ac:dyDescent="0.15"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</row>
    <row r="189" spans="16:30" hidden="1" x14ac:dyDescent="0.15"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6:30" hidden="1" x14ac:dyDescent="0.15"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</row>
    <row r="191" spans="16:30" hidden="1" x14ac:dyDescent="0.15"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</row>
    <row r="192" spans="16:30" hidden="1" x14ac:dyDescent="0.15"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16:30" hidden="1" x14ac:dyDescent="0.15"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6:30" hidden="1" x14ac:dyDescent="0.15"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6:30" hidden="1" x14ac:dyDescent="0.15"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</row>
    <row r="196" spans="16:30" hidden="1" x14ac:dyDescent="0.15"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</row>
    <row r="197" spans="16:30" hidden="1" x14ac:dyDescent="0.15"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</row>
    <row r="198" spans="16:30" hidden="1" x14ac:dyDescent="0.15"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</row>
    <row r="199" spans="16:30" hidden="1" x14ac:dyDescent="0.15"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</row>
    <row r="200" spans="16:30" hidden="1" x14ac:dyDescent="0.15"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</row>
    <row r="201" spans="16:30" hidden="1" x14ac:dyDescent="0.15"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6:30" hidden="1" x14ac:dyDescent="0.15"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6:30" hidden="1" x14ac:dyDescent="0.15"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6:30" hidden="1" x14ac:dyDescent="0.15"/>
    <row r="205" spans="16:30" hidden="1" x14ac:dyDescent="0.15"/>
    <row r="206" spans="16:30" hidden="1" x14ac:dyDescent="0.15"/>
    <row r="207" spans="16:30" hidden="1" x14ac:dyDescent="0.15"/>
    <row r="208" spans="16:30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hidden="1" x14ac:dyDescent="0.15"/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</sheetData>
  <sheetProtection algorithmName="SHA-512" hashValue="wqK1+v1N6lst4JBvRs598h8pCFMRgDT4H5gzYzRy7+lq0m8ZE3Kw3Pm1UPU3nFJ42qcCsgFia1rwg9s4aWGcNQ==" saltValue="qda9aSK8to4fir+woT+bHA==" spinCount="100000" sheet="1" objects="1" scenarios="1"/>
  <phoneticPr fontId="5" type="noConversion"/>
  <printOptions gridLines="1" gridLinesSet="0"/>
  <pageMargins left="0.78740157480314965" right="0.39370078740157483" top="0.59055118110236227" bottom="0.78740157480314965" header="0" footer="0"/>
  <pageSetup paperSize="9" scale="11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IMPULSE ®</vt:lpstr>
      <vt:lpstr>_8428.39.99.00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hhc</dc:creator>
  <cp:lastModifiedBy>Hellmut H. Calen</cp:lastModifiedBy>
  <cp:lastPrinted>2007-10-19T20:19:39Z</cp:lastPrinted>
  <dcterms:created xsi:type="dcterms:W3CDTF">1998-07-10T21:33:32Z</dcterms:created>
  <dcterms:modified xsi:type="dcterms:W3CDTF">2018-01-16T12:47:56Z</dcterms:modified>
</cp:coreProperties>
</file>